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SWUFE：实习\3 教务处\7.5 本科教学助理工作\关于公布2021-2022-1学期本科课程教学助理名单的通知\"/>
    </mc:Choice>
  </mc:AlternateContent>
  <xr:revisionPtr revIDLastSave="0" documentId="13_ncr:1_{89E64109-E22F-46EB-A2B7-C50BA35B4E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definedNames>
    <definedName name="_xlnm._FilterDatabase" localSheetId="0" hidden="1">Sheet1!$A$2:$G$2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0" i="2" l="1"/>
  <c r="G44" i="2"/>
  <c r="G8" i="2"/>
  <c r="G23" i="2"/>
  <c r="G179" i="2"/>
  <c r="G178" i="2"/>
  <c r="G256" i="2"/>
  <c r="G216" i="2"/>
  <c r="G177" i="2"/>
  <c r="G211" i="2"/>
  <c r="G176" i="2"/>
  <c r="G43" i="2"/>
  <c r="G255" i="2"/>
  <c r="G175" i="2"/>
  <c r="G210" i="2"/>
  <c r="G209" i="2"/>
  <c r="G174" i="2"/>
  <c r="G254" i="2"/>
  <c r="G173" i="2"/>
  <c r="G172" i="2"/>
  <c r="G171" i="2"/>
  <c r="G170" i="2"/>
  <c r="G26" i="2"/>
  <c r="G253" i="2"/>
  <c r="G169" i="2"/>
  <c r="G168" i="2"/>
  <c r="G252" i="2"/>
  <c r="G42" i="2"/>
  <c r="G167" i="2"/>
  <c r="G166" i="2"/>
  <c r="G165" i="2"/>
  <c r="G164" i="2"/>
  <c r="G163" i="2"/>
  <c r="G162" i="2"/>
  <c r="G161" i="2"/>
  <c r="G41" i="2"/>
  <c r="G40" i="2"/>
  <c r="G208" i="2"/>
  <c r="G39" i="2"/>
  <c r="G251" i="2"/>
  <c r="G22" i="2"/>
  <c r="G25" i="2"/>
  <c r="G160" i="2"/>
  <c r="G159" i="2"/>
  <c r="G158" i="2"/>
  <c r="G157" i="2"/>
  <c r="G156" i="2"/>
  <c r="G155" i="2"/>
  <c r="G250" i="2"/>
  <c r="G154" i="2"/>
  <c r="G207" i="2"/>
  <c r="G153" i="2"/>
  <c r="G152" i="2"/>
  <c r="G206" i="2"/>
  <c r="G249" i="2"/>
  <c r="G248" i="2"/>
  <c r="G247" i="2"/>
  <c r="G151" i="2"/>
  <c r="G150" i="2"/>
  <c r="G149" i="2"/>
  <c r="G148" i="2"/>
  <c r="G21" i="2"/>
  <c r="G205" i="2"/>
  <c r="G147" i="2"/>
  <c r="G246" i="2"/>
  <c r="G245" i="2"/>
  <c r="G38" i="2"/>
  <c r="G146" i="2"/>
  <c r="G20" i="2"/>
  <c r="G244" i="2"/>
  <c r="G19" i="2"/>
  <c r="G182" i="2"/>
  <c r="G145" i="2"/>
  <c r="G144" i="2"/>
  <c r="G143" i="2"/>
  <c r="G243" i="2"/>
  <c r="G37" i="2"/>
  <c r="G242" i="2"/>
  <c r="G241" i="2"/>
  <c r="G142" i="2"/>
  <c r="G240" i="2"/>
  <c r="G36" i="2"/>
  <c r="G141" i="2"/>
  <c r="G140" i="2"/>
  <c r="G139" i="2"/>
  <c r="G138" i="2"/>
  <c r="G239" i="2"/>
  <c r="G215" i="2"/>
  <c r="G137" i="2"/>
  <c r="G136" i="2"/>
  <c r="G18" i="2"/>
  <c r="G135" i="2"/>
  <c r="G35" i="2"/>
  <c r="G204" i="2"/>
  <c r="G134" i="2"/>
  <c r="G133" i="2"/>
  <c r="G132" i="2"/>
  <c r="G131" i="2"/>
  <c r="G130" i="2"/>
  <c r="G203" i="2"/>
  <c r="G17" i="2"/>
  <c r="G129" i="2"/>
  <c r="G238" i="2"/>
  <c r="G49" i="2"/>
  <c r="G128" i="2"/>
  <c r="G127" i="2"/>
  <c r="G126" i="2"/>
  <c r="G125" i="2"/>
  <c r="G124" i="2"/>
  <c r="G3" i="2"/>
  <c r="G202" i="2"/>
  <c r="G16" i="2"/>
  <c r="G123" i="2"/>
  <c r="G237" i="2"/>
  <c r="G122" i="2"/>
  <c r="G121" i="2"/>
  <c r="G120" i="2"/>
  <c r="G34" i="2"/>
  <c r="G119" i="2"/>
  <c r="G118" i="2"/>
  <c r="G117" i="2"/>
  <c r="G236" i="2"/>
  <c r="G116" i="2"/>
  <c r="G7" i="2"/>
  <c r="G115" i="2"/>
  <c r="G6" i="2"/>
  <c r="G201" i="2"/>
  <c r="G114" i="2"/>
  <c r="G113" i="2"/>
  <c r="G112" i="2"/>
  <c r="G111" i="2"/>
  <c r="G235" i="2"/>
  <c r="G110" i="2"/>
  <c r="G24" i="2"/>
  <c r="G234" i="2"/>
  <c r="G109" i="2"/>
  <c r="G200" i="2"/>
  <c r="G108" i="2"/>
  <c r="G107" i="2"/>
  <c r="G199" i="2"/>
  <c r="G198" i="2"/>
  <c r="G106" i="2"/>
  <c r="G105" i="2"/>
  <c r="G104" i="2"/>
  <c r="G103" i="2"/>
  <c r="G233" i="2"/>
  <c r="G102" i="2"/>
  <c r="G33" i="2"/>
  <c r="G101" i="2"/>
  <c r="G197" i="2"/>
  <c r="G196" i="2"/>
  <c r="G100" i="2"/>
  <c r="G99" i="2"/>
  <c r="G195" i="2"/>
  <c r="G194" i="2"/>
  <c r="G98" i="2"/>
  <c r="G193" i="2"/>
  <c r="G97" i="2"/>
  <c r="G15" i="2"/>
  <c r="G96" i="2"/>
  <c r="G232" i="2"/>
  <c r="G231" i="2"/>
  <c r="G95" i="2"/>
  <c r="G94" i="2"/>
  <c r="G14" i="2"/>
  <c r="G93" i="2"/>
  <c r="G230" i="2"/>
  <c r="G92" i="2"/>
  <c r="G229" i="2"/>
  <c r="G91" i="2"/>
  <c r="G90" i="2"/>
  <c r="G48" i="2"/>
  <c r="G214" i="2"/>
  <c r="G32" i="2"/>
  <c r="G89" i="2"/>
  <c r="G88" i="2"/>
  <c r="G87" i="2"/>
  <c r="G212" i="2"/>
  <c r="G86" i="2"/>
  <c r="G85" i="2"/>
  <c r="G5" i="2"/>
  <c r="G228" i="2"/>
  <c r="G227" i="2"/>
  <c r="G84" i="2"/>
  <c r="G31" i="2"/>
  <c r="G226" i="2"/>
  <c r="G225" i="2"/>
  <c r="G83" i="2"/>
  <c r="G82" i="2"/>
  <c r="G81" i="2"/>
  <c r="G224" i="2"/>
  <c r="G223" i="2"/>
  <c r="G80" i="2"/>
  <c r="G192" i="2"/>
  <c r="G79" i="2"/>
  <c r="G78" i="2"/>
  <c r="G77" i="2"/>
  <c r="G191" i="2"/>
  <c r="G76" i="2"/>
  <c r="G75" i="2"/>
  <c r="G74" i="2"/>
  <c r="G73" i="2"/>
  <c r="G72" i="2"/>
  <c r="G71" i="2"/>
  <c r="G70" i="2"/>
  <c r="G69" i="2"/>
  <c r="G30" i="2"/>
  <c r="G222" i="2"/>
  <c r="G68" i="2"/>
  <c r="G29" i="2"/>
  <c r="G67" i="2"/>
  <c r="G213" i="2"/>
  <c r="G66" i="2"/>
  <c r="G65" i="2"/>
  <c r="G221" i="2"/>
  <c r="G64" i="2"/>
  <c r="G220" i="2"/>
  <c r="G63" i="2"/>
  <c r="G4" i="2"/>
  <c r="G28" i="2"/>
  <c r="G62" i="2"/>
  <c r="G9" i="2"/>
  <c r="G13" i="2"/>
  <c r="G181" i="2"/>
  <c r="G61" i="2"/>
  <c r="G190" i="2"/>
  <c r="G47" i="2"/>
  <c r="G12" i="2"/>
  <c r="G60" i="2"/>
  <c r="G219" i="2"/>
  <c r="G46" i="2"/>
  <c r="G189" i="2"/>
  <c r="G11" i="2"/>
  <c r="G188" i="2"/>
  <c r="G218" i="2"/>
  <c r="G27" i="2"/>
  <c r="G187" i="2"/>
  <c r="G186" i="2"/>
  <c r="G59" i="2"/>
  <c r="G58" i="2"/>
  <c r="G57" i="2"/>
  <c r="G56" i="2"/>
  <c r="G185" i="2"/>
  <c r="G55" i="2"/>
  <c r="G54" i="2"/>
  <c r="G53" i="2"/>
  <c r="G217" i="2"/>
  <c r="G52" i="2"/>
  <c r="G184" i="2"/>
  <c r="G183" i="2"/>
  <c r="G45" i="2"/>
  <c r="G51" i="2"/>
  <c r="G50" i="2"/>
  <c r="G10" i="2"/>
  <c r="F180" i="2"/>
  <c r="F44" i="2"/>
  <c r="F8" i="2"/>
  <c r="F23" i="2"/>
  <c r="F179" i="2"/>
  <c r="F178" i="2"/>
  <c r="F256" i="2"/>
  <c r="F216" i="2"/>
  <c r="F177" i="2"/>
  <c r="F211" i="2"/>
  <c r="F176" i="2"/>
  <c r="F43" i="2"/>
  <c r="F255" i="2"/>
  <c r="F175" i="2"/>
  <c r="F210" i="2"/>
  <c r="F209" i="2"/>
  <c r="F174" i="2"/>
  <c r="F254" i="2"/>
  <c r="F173" i="2"/>
  <c r="F172" i="2"/>
  <c r="F171" i="2"/>
  <c r="F170" i="2"/>
  <c r="F26" i="2"/>
  <c r="F253" i="2"/>
  <c r="F169" i="2"/>
  <c r="F168" i="2"/>
  <c r="F252" i="2"/>
  <c r="F42" i="2"/>
  <c r="F167" i="2"/>
  <c r="F166" i="2"/>
  <c r="F165" i="2"/>
  <c r="F164" i="2"/>
  <c r="F163" i="2"/>
  <c r="F162" i="2"/>
  <c r="F161" i="2"/>
  <c r="F41" i="2"/>
  <c r="F40" i="2"/>
  <c r="F208" i="2"/>
  <c r="F39" i="2"/>
  <c r="F251" i="2"/>
  <c r="F22" i="2"/>
  <c r="F25" i="2"/>
  <c r="F160" i="2"/>
  <c r="F159" i="2"/>
  <c r="F158" i="2"/>
  <c r="F157" i="2"/>
  <c r="F156" i="2"/>
  <c r="F155" i="2"/>
  <c r="F250" i="2"/>
  <c r="F154" i="2"/>
  <c r="F207" i="2"/>
  <c r="F153" i="2"/>
  <c r="F152" i="2"/>
  <c r="F206" i="2"/>
  <c r="F249" i="2"/>
  <c r="F248" i="2"/>
  <c r="F247" i="2"/>
  <c r="F151" i="2"/>
  <c r="F150" i="2"/>
  <c r="F149" i="2"/>
  <c r="F148" i="2"/>
  <c r="F21" i="2"/>
  <c r="F205" i="2"/>
  <c r="F147" i="2"/>
  <c r="F246" i="2"/>
  <c r="F245" i="2"/>
  <c r="F38" i="2"/>
  <c r="F146" i="2"/>
  <c r="F20" i="2"/>
  <c r="F244" i="2"/>
  <c r="F19" i="2"/>
  <c r="F182" i="2"/>
  <c r="F145" i="2"/>
  <c r="F144" i="2"/>
  <c r="F143" i="2"/>
  <c r="F243" i="2"/>
  <c r="F37" i="2"/>
  <c r="F242" i="2"/>
  <c r="F241" i="2"/>
  <c r="F142" i="2"/>
  <c r="F240" i="2"/>
  <c r="F36" i="2"/>
  <c r="F141" i="2"/>
  <c r="F140" i="2"/>
  <c r="F139" i="2"/>
  <c r="F138" i="2"/>
  <c r="F239" i="2"/>
  <c r="F215" i="2"/>
  <c r="F137" i="2"/>
  <c r="F136" i="2"/>
  <c r="F18" i="2"/>
  <c r="F135" i="2"/>
  <c r="F35" i="2"/>
  <c r="F204" i="2"/>
  <c r="F134" i="2"/>
  <c r="F133" i="2"/>
  <c r="F132" i="2"/>
  <c r="F131" i="2"/>
  <c r="F130" i="2"/>
  <c r="F203" i="2"/>
  <c r="F17" i="2"/>
  <c r="F129" i="2"/>
  <c r="F238" i="2"/>
  <c r="F49" i="2"/>
  <c r="F128" i="2"/>
  <c r="F127" i="2"/>
  <c r="F126" i="2"/>
  <c r="F125" i="2"/>
  <c r="F124" i="2"/>
  <c r="F3" i="2"/>
  <c r="F202" i="2"/>
  <c r="F16" i="2"/>
  <c r="F123" i="2"/>
  <c r="F237" i="2"/>
  <c r="F122" i="2"/>
  <c r="F121" i="2"/>
  <c r="F120" i="2"/>
  <c r="F34" i="2"/>
  <c r="F119" i="2"/>
  <c r="F118" i="2"/>
  <c r="F117" i="2"/>
  <c r="F236" i="2"/>
  <c r="F116" i="2"/>
  <c r="F7" i="2"/>
  <c r="F115" i="2"/>
  <c r="F6" i="2"/>
  <c r="F201" i="2"/>
  <c r="F114" i="2"/>
  <c r="F113" i="2"/>
  <c r="F112" i="2"/>
  <c r="F111" i="2"/>
  <c r="F235" i="2"/>
  <c r="F110" i="2"/>
  <c r="F24" i="2"/>
  <c r="F234" i="2"/>
  <c r="F109" i="2"/>
  <c r="F200" i="2"/>
  <c r="F108" i="2"/>
  <c r="F107" i="2"/>
  <c r="F199" i="2"/>
  <c r="F198" i="2"/>
  <c r="F106" i="2"/>
  <c r="F105" i="2"/>
  <c r="F104" i="2"/>
  <c r="F103" i="2"/>
  <c r="F233" i="2"/>
  <c r="F102" i="2"/>
  <c r="F33" i="2"/>
  <c r="F101" i="2"/>
  <c r="F197" i="2"/>
  <c r="F196" i="2"/>
  <c r="F100" i="2"/>
  <c r="F99" i="2"/>
  <c r="F195" i="2"/>
  <c r="F194" i="2"/>
  <c r="F98" i="2"/>
  <c r="F193" i="2"/>
  <c r="F97" i="2"/>
  <c r="F15" i="2"/>
  <c r="F96" i="2"/>
  <c r="F232" i="2"/>
  <c r="F231" i="2"/>
  <c r="F95" i="2"/>
  <c r="F94" i="2"/>
  <c r="F14" i="2"/>
  <c r="F93" i="2"/>
  <c r="F230" i="2"/>
  <c r="F92" i="2"/>
  <c r="F229" i="2"/>
  <c r="F91" i="2"/>
  <c r="F90" i="2"/>
  <c r="F48" i="2"/>
  <c r="F214" i="2"/>
  <c r="F32" i="2"/>
  <c r="F89" i="2"/>
  <c r="F88" i="2"/>
  <c r="F87" i="2"/>
  <c r="F212" i="2"/>
  <c r="F86" i="2"/>
  <c r="F85" i="2"/>
  <c r="F5" i="2"/>
  <c r="F228" i="2"/>
  <c r="F227" i="2"/>
  <c r="F84" i="2"/>
  <c r="F31" i="2"/>
  <c r="F226" i="2"/>
  <c r="F225" i="2"/>
  <c r="F83" i="2"/>
  <c r="F82" i="2"/>
  <c r="F81" i="2"/>
  <c r="F224" i="2"/>
  <c r="F223" i="2"/>
  <c r="F80" i="2"/>
  <c r="F192" i="2"/>
  <c r="F79" i="2"/>
  <c r="F78" i="2"/>
  <c r="F77" i="2"/>
  <c r="F191" i="2"/>
  <c r="F76" i="2"/>
  <c r="F75" i="2"/>
  <c r="F74" i="2"/>
  <c r="F73" i="2"/>
  <c r="F72" i="2"/>
  <c r="F71" i="2"/>
  <c r="F70" i="2"/>
  <c r="F69" i="2"/>
  <c r="F30" i="2"/>
  <c r="F222" i="2"/>
  <c r="F68" i="2"/>
  <c r="F29" i="2"/>
  <c r="F67" i="2"/>
  <c r="F213" i="2"/>
  <c r="F66" i="2"/>
  <c r="F65" i="2"/>
  <c r="F221" i="2"/>
  <c r="F64" i="2"/>
  <c r="F220" i="2"/>
  <c r="F63" i="2"/>
  <c r="F4" i="2"/>
  <c r="F28" i="2"/>
  <c r="F62" i="2"/>
  <c r="F9" i="2"/>
  <c r="F13" i="2"/>
  <c r="F181" i="2"/>
  <c r="F61" i="2"/>
  <c r="F190" i="2"/>
  <c r="F47" i="2"/>
  <c r="F12" i="2"/>
  <c r="F60" i="2"/>
  <c r="F219" i="2"/>
  <c r="F46" i="2"/>
  <c r="F189" i="2"/>
  <c r="F11" i="2"/>
  <c r="F188" i="2"/>
  <c r="F218" i="2"/>
  <c r="F27" i="2"/>
  <c r="F187" i="2"/>
  <c r="F186" i="2"/>
  <c r="F59" i="2"/>
  <c r="F58" i="2"/>
  <c r="F57" i="2"/>
  <c r="F56" i="2"/>
  <c r="F185" i="2"/>
  <c r="F55" i="2"/>
  <c r="F54" i="2"/>
  <c r="F53" i="2"/>
  <c r="F217" i="2"/>
  <c r="F52" i="2"/>
  <c r="F184" i="2"/>
  <c r="F183" i="2"/>
  <c r="F45" i="2"/>
  <c r="F51" i="2"/>
  <c r="F50" i="2"/>
  <c r="F10" i="2"/>
  <c r="E180" i="2"/>
  <c r="E44" i="2"/>
  <c r="E8" i="2"/>
  <c r="E23" i="2"/>
  <c r="E179" i="2"/>
  <c r="E178" i="2"/>
  <c r="E256" i="2"/>
  <c r="E216" i="2"/>
  <c r="E177" i="2"/>
  <c r="E211" i="2"/>
  <c r="E176" i="2"/>
  <c r="E43" i="2"/>
  <c r="E255" i="2"/>
  <c r="E175" i="2"/>
  <c r="E210" i="2"/>
  <c r="E209" i="2"/>
  <c r="E174" i="2"/>
  <c r="E254" i="2"/>
  <c r="E173" i="2"/>
  <c r="E172" i="2"/>
  <c r="E171" i="2"/>
  <c r="E170" i="2"/>
  <c r="E26" i="2"/>
  <c r="E253" i="2"/>
  <c r="E169" i="2"/>
  <c r="E168" i="2"/>
  <c r="E252" i="2"/>
  <c r="E42" i="2"/>
  <c r="E167" i="2"/>
  <c r="E166" i="2"/>
  <c r="E165" i="2"/>
  <c r="E164" i="2"/>
  <c r="E163" i="2"/>
  <c r="E162" i="2"/>
  <c r="E161" i="2"/>
  <c r="E41" i="2"/>
  <c r="E40" i="2"/>
  <c r="E208" i="2"/>
  <c r="E39" i="2"/>
  <c r="E251" i="2"/>
  <c r="E22" i="2"/>
  <c r="E25" i="2"/>
  <c r="E160" i="2"/>
  <c r="E159" i="2"/>
  <c r="E158" i="2"/>
  <c r="E157" i="2"/>
  <c r="E156" i="2"/>
  <c r="E155" i="2"/>
  <c r="E250" i="2"/>
  <c r="E154" i="2"/>
  <c r="E207" i="2"/>
  <c r="E153" i="2"/>
  <c r="E152" i="2"/>
  <c r="E206" i="2"/>
  <c r="E249" i="2"/>
  <c r="E248" i="2"/>
  <c r="E247" i="2"/>
  <c r="E151" i="2"/>
  <c r="E150" i="2"/>
  <c r="E149" i="2"/>
  <c r="E148" i="2"/>
  <c r="E21" i="2"/>
  <c r="E205" i="2"/>
  <c r="E147" i="2"/>
  <c r="E246" i="2"/>
  <c r="E245" i="2"/>
  <c r="E38" i="2"/>
  <c r="E146" i="2"/>
  <c r="E20" i="2"/>
  <c r="E244" i="2"/>
  <c r="E19" i="2"/>
  <c r="E182" i="2"/>
  <c r="E145" i="2"/>
  <c r="E144" i="2"/>
  <c r="E143" i="2"/>
  <c r="E243" i="2"/>
  <c r="E37" i="2"/>
  <c r="E242" i="2"/>
  <c r="E241" i="2"/>
  <c r="E142" i="2"/>
  <c r="E240" i="2"/>
  <c r="E36" i="2"/>
  <c r="E141" i="2"/>
  <c r="E140" i="2"/>
  <c r="E139" i="2"/>
  <c r="E138" i="2"/>
  <c r="E239" i="2"/>
  <c r="E215" i="2"/>
  <c r="E137" i="2"/>
  <c r="E136" i="2"/>
  <c r="E18" i="2"/>
  <c r="E135" i="2"/>
  <c r="E35" i="2"/>
  <c r="E204" i="2"/>
  <c r="E134" i="2"/>
  <c r="E133" i="2"/>
  <c r="E132" i="2"/>
  <c r="E131" i="2"/>
  <c r="E130" i="2"/>
  <c r="E203" i="2"/>
  <c r="E17" i="2"/>
  <c r="E129" i="2"/>
  <c r="E238" i="2"/>
  <c r="E49" i="2"/>
  <c r="E128" i="2"/>
  <c r="E127" i="2"/>
  <c r="E126" i="2"/>
  <c r="E125" i="2"/>
  <c r="E124" i="2"/>
  <c r="E3" i="2"/>
  <c r="E202" i="2"/>
  <c r="E16" i="2"/>
  <c r="E123" i="2"/>
  <c r="E237" i="2"/>
  <c r="E122" i="2"/>
  <c r="E121" i="2"/>
  <c r="E120" i="2"/>
  <c r="E34" i="2"/>
  <c r="E119" i="2"/>
  <c r="E118" i="2"/>
  <c r="E117" i="2"/>
  <c r="E236" i="2"/>
  <c r="E116" i="2"/>
  <c r="E7" i="2"/>
  <c r="E115" i="2"/>
  <c r="E6" i="2"/>
  <c r="E201" i="2"/>
  <c r="E114" i="2"/>
  <c r="E113" i="2"/>
  <c r="E112" i="2"/>
  <c r="E111" i="2"/>
  <c r="E235" i="2"/>
  <c r="E110" i="2"/>
  <c r="E24" i="2"/>
  <c r="E234" i="2"/>
  <c r="E109" i="2"/>
  <c r="E200" i="2"/>
  <c r="E108" i="2"/>
  <c r="E107" i="2"/>
  <c r="E199" i="2"/>
  <c r="E198" i="2"/>
  <c r="E106" i="2"/>
  <c r="E105" i="2"/>
  <c r="E104" i="2"/>
  <c r="E103" i="2"/>
  <c r="E233" i="2"/>
  <c r="E102" i="2"/>
  <c r="E33" i="2"/>
  <c r="E101" i="2"/>
  <c r="E197" i="2"/>
  <c r="E196" i="2"/>
  <c r="E100" i="2"/>
  <c r="E99" i="2"/>
  <c r="E195" i="2"/>
  <c r="E194" i="2"/>
  <c r="E98" i="2"/>
  <c r="E193" i="2"/>
  <c r="E97" i="2"/>
  <c r="E15" i="2"/>
  <c r="E96" i="2"/>
  <c r="E232" i="2"/>
  <c r="E231" i="2"/>
  <c r="E95" i="2"/>
  <c r="E94" i="2"/>
  <c r="E14" i="2"/>
  <c r="E93" i="2"/>
  <c r="E230" i="2"/>
  <c r="E92" i="2"/>
  <c r="E229" i="2"/>
  <c r="E91" i="2"/>
  <c r="E90" i="2"/>
  <c r="E48" i="2"/>
  <c r="E214" i="2"/>
  <c r="E32" i="2"/>
  <c r="E89" i="2"/>
  <c r="E88" i="2"/>
  <c r="E87" i="2"/>
  <c r="E212" i="2"/>
  <c r="E86" i="2"/>
  <c r="E85" i="2"/>
  <c r="E5" i="2"/>
  <c r="E228" i="2"/>
  <c r="E227" i="2"/>
  <c r="E84" i="2"/>
  <c r="E31" i="2"/>
  <c r="E226" i="2"/>
  <c r="E225" i="2"/>
  <c r="E83" i="2"/>
  <c r="E82" i="2"/>
  <c r="E81" i="2"/>
  <c r="E224" i="2"/>
  <c r="E223" i="2"/>
  <c r="E80" i="2"/>
  <c r="E192" i="2"/>
  <c r="E79" i="2"/>
  <c r="E78" i="2"/>
  <c r="E77" i="2"/>
  <c r="E191" i="2"/>
  <c r="E76" i="2"/>
  <c r="E75" i="2"/>
  <c r="E74" i="2"/>
  <c r="E73" i="2"/>
  <c r="E72" i="2"/>
  <c r="E71" i="2"/>
  <c r="E70" i="2"/>
  <c r="E69" i="2"/>
  <c r="E30" i="2"/>
  <c r="E222" i="2"/>
  <c r="E68" i="2"/>
  <c r="E29" i="2"/>
  <c r="E67" i="2"/>
  <c r="E213" i="2"/>
  <c r="E66" i="2"/>
  <c r="E65" i="2"/>
  <c r="E221" i="2"/>
  <c r="E64" i="2"/>
  <c r="E220" i="2"/>
  <c r="E63" i="2"/>
  <c r="E4" i="2"/>
  <c r="E28" i="2"/>
  <c r="E62" i="2"/>
  <c r="E9" i="2"/>
  <c r="E13" i="2"/>
  <c r="E181" i="2"/>
  <c r="E61" i="2"/>
  <c r="E190" i="2"/>
  <c r="E47" i="2"/>
  <c r="E12" i="2"/>
  <c r="E60" i="2"/>
  <c r="E219" i="2"/>
  <c r="E46" i="2"/>
  <c r="E189" i="2"/>
  <c r="E11" i="2"/>
  <c r="E188" i="2"/>
  <c r="E218" i="2"/>
  <c r="E27" i="2"/>
  <c r="E187" i="2"/>
  <c r="E186" i="2"/>
  <c r="E59" i="2"/>
  <c r="E58" i="2"/>
  <c r="E57" i="2"/>
  <c r="E56" i="2"/>
  <c r="E185" i="2"/>
  <c r="E55" i="2"/>
  <c r="E54" i="2"/>
  <c r="E53" i="2"/>
  <c r="E217" i="2"/>
  <c r="E52" i="2"/>
  <c r="E184" i="2"/>
  <c r="E183" i="2"/>
  <c r="E45" i="2"/>
  <c r="E51" i="2"/>
  <c r="E50" i="2"/>
  <c r="E10" i="2"/>
  <c r="D180" i="2"/>
  <c r="D44" i="2"/>
  <c r="D8" i="2"/>
  <c r="D23" i="2"/>
  <c r="D179" i="2"/>
  <c r="D178" i="2"/>
  <c r="D256" i="2"/>
  <c r="D216" i="2"/>
  <c r="D177" i="2"/>
  <c r="D211" i="2"/>
  <c r="D176" i="2"/>
  <c r="D43" i="2"/>
  <c r="D255" i="2"/>
  <c r="D175" i="2"/>
  <c r="D210" i="2"/>
  <c r="D209" i="2"/>
  <c r="D174" i="2"/>
  <c r="D254" i="2"/>
  <c r="D173" i="2"/>
  <c r="D172" i="2"/>
  <c r="D171" i="2"/>
  <c r="D170" i="2"/>
  <c r="D26" i="2"/>
  <c r="D253" i="2"/>
  <c r="D169" i="2"/>
  <c r="D168" i="2"/>
  <c r="D252" i="2"/>
  <c r="D42" i="2"/>
  <c r="D167" i="2"/>
  <c r="D166" i="2"/>
  <c r="D165" i="2"/>
  <c r="D164" i="2"/>
  <c r="D163" i="2"/>
  <c r="D162" i="2"/>
  <c r="D161" i="2"/>
  <c r="D41" i="2"/>
  <c r="D40" i="2"/>
  <c r="D208" i="2"/>
  <c r="D39" i="2"/>
  <c r="D251" i="2"/>
  <c r="D22" i="2"/>
  <c r="D25" i="2"/>
  <c r="D160" i="2"/>
  <c r="D159" i="2"/>
  <c r="D158" i="2"/>
  <c r="D157" i="2"/>
  <c r="D156" i="2"/>
  <c r="D155" i="2"/>
  <c r="D250" i="2"/>
  <c r="D154" i="2"/>
  <c r="D207" i="2"/>
  <c r="D153" i="2"/>
  <c r="D152" i="2"/>
  <c r="D206" i="2"/>
  <c r="D249" i="2"/>
  <c r="D248" i="2"/>
  <c r="D247" i="2"/>
  <c r="D151" i="2"/>
  <c r="D150" i="2"/>
  <c r="D149" i="2"/>
  <c r="D148" i="2"/>
  <c r="D21" i="2"/>
  <c r="D205" i="2"/>
  <c r="D147" i="2"/>
  <c r="D246" i="2"/>
  <c r="D245" i="2"/>
  <c r="D38" i="2"/>
  <c r="D146" i="2"/>
  <c r="D20" i="2"/>
  <c r="D244" i="2"/>
  <c r="D19" i="2"/>
  <c r="D182" i="2"/>
  <c r="D145" i="2"/>
  <c r="D144" i="2"/>
  <c r="D143" i="2"/>
  <c r="D243" i="2"/>
  <c r="D37" i="2"/>
  <c r="D242" i="2"/>
  <c r="D241" i="2"/>
  <c r="D142" i="2"/>
  <c r="D240" i="2"/>
  <c r="D36" i="2"/>
  <c r="D141" i="2"/>
  <c r="D140" i="2"/>
  <c r="D139" i="2"/>
  <c r="D138" i="2"/>
  <c r="D239" i="2"/>
  <c r="D215" i="2"/>
  <c r="D137" i="2"/>
  <c r="D136" i="2"/>
  <c r="D18" i="2"/>
  <c r="D135" i="2"/>
  <c r="D35" i="2"/>
  <c r="D204" i="2"/>
  <c r="D134" i="2"/>
  <c r="D133" i="2"/>
  <c r="D132" i="2"/>
  <c r="D131" i="2"/>
  <c r="D130" i="2"/>
  <c r="D203" i="2"/>
  <c r="D17" i="2"/>
  <c r="D129" i="2"/>
  <c r="D238" i="2"/>
  <c r="D49" i="2"/>
  <c r="D128" i="2"/>
  <c r="D127" i="2"/>
  <c r="D126" i="2"/>
  <c r="D125" i="2"/>
  <c r="D124" i="2"/>
  <c r="D3" i="2"/>
  <c r="D202" i="2"/>
  <c r="D16" i="2"/>
  <c r="D123" i="2"/>
  <c r="D237" i="2"/>
  <c r="D122" i="2"/>
  <c r="D121" i="2"/>
  <c r="D120" i="2"/>
  <c r="D34" i="2"/>
  <c r="D119" i="2"/>
  <c r="D118" i="2"/>
  <c r="D117" i="2"/>
  <c r="D236" i="2"/>
  <c r="D116" i="2"/>
  <c r="D7" i="2"/>
  <c r="D115" i="2"/>
  <c r="D6" i="2"/>
  <c r="D201" i="2"/>
  <c r="D114" i="2"/>
  <c r="D113" i="2"/>
  <c r="D112" i="2"/>
  <c r="D111" i="2"/>
  <c r="D235" i="2"/>
  <c r="D110" i="2"/>
  <c r="D24" i="2"/>
  <c r="D234" i="2"/>
  <c r="D109" i="2"/>
  <c r="D200" i="2"/>
  <c r="D108" i="2"/>
  <c r="D107" i="2"/>
  <c r="D199" i="2"/>
  <c r="D198" i="2"/>
  <c r="D106" i="2"/>
  <c r="D105" i="2"/>
  <c r="D104" i="2"/>
  <c r="D103" i="2"/>
  <c r="D233" i="2"/>
  <c r="D102" i="2"/>
  <c r="D33" i="2"/>
  <c r="D101" i="2"/>
  <c r="D197" i="2"/>
  <c r="D196" i="2"/>
  <c r="D100" i="2"/>
  <c r="D99" i="2"/>
  <c r="D195" i="2"/>
  <c r="D194" i="2"/>
  <c r="D98" i="2"/>
  <c r="D193" i="2"/>
  <c r="D97" i="2"/>
  <c r="D15" i="2"/>
  <c r="D96" i="2"/>
  <c r="D232" i="2"/>
  <c r="D231" i="2"/>
  <c r="D95" i="2"/>
  <c r="D94" i="2"/>
  <c r="D14" i="2"/>
  <c r="D93" i="2"/>
  <c r="D230" i="2"/>
  <c r="D92" i="2"/>
  <c r="D229" i="2"/>
  <c r="D91" i="2"/>
  <c r="D90" i="2"/>
  <c r="D48" i="2"/>
  <c r="D214" i="2"/>
  <c r="D32" i="2"/>
  <c r="D89" i="2"/>
  <c r="D88" i="2"/>
  <c r="D87" i="2"/>
  <c r="D212" i="2"/>
  <c r="D86" i="2"/>
  <c r="D85" i="2"/>
  <c r="D5" i="2"/>
  <c r="D228" i="2"/>
  <c r="D227" i="2"/>
  <c r="D84" i="2"/>
  <c r="D31" i="2"/>
  <c r="D226" i="2"/>
  <c r="D225" i="2"/>
  <c r="D83" i="2"/>
  <c r="D82" i="2"/>
  <c r="D81" i="2"/>
  <c r="D224" i="2"/>
  <c r="D223" i="2"/>
  <c r="D80" i="2"/>
  <c r="D192" i="2"/>
  <c r="D79" i="2"/>
  <c r="D78" i="2"/>
  <c r="D77" i="2"/>
  <c r="D191" i="2"/>
  <c r="D76" i="2"/>
  <c r="D75" i="2"/>
  <c r="D74" i="2"/>
  <c r="D73" i="2"/>
  <c r="D72" i="2"/>
  <c r="D71" i="2"/>
  <c r="D70" i="2"/>
  <c r="D69" i="2"/>
  <c r="D30" i="2"/>
  <c r="D222" i="2"/>
  <c r="D68" i="2"/>
  <c r="D29" i="2"/>
  <c r="D67" i="2"/>
  <c r="D213" i="2"/>
  <c r="D66" i="2"/>
  <c r="D65" i="2"/>
  <c r="D221" i="2"/>
  <c r="D64" i="2"/>
  <c r="D220" i="2"/>
  <c r="D63" i="2"/>
  <c r="D4" i="2"/>
  <c r="D28" i="2"/>
  <c r="D62" i="2"/>
  <c r="D9" i="2"/>
  <c r="D13" i="2"/>
  <c r="D181" i="2"/>
  <c r="D61" i="2"/>
  <c r="D190" i="2"/>
  <c r="D47" i="2"/>
  <c r="D12" i="2"/>
  <c r="D60" i="2"/>
  <c r="D219" i="2"/>
  <c r="D46" i="2"/>
  <c r="D189" i="2"/>
  <c r="D11" i="2"/>
  <c r="D188" i="2"/>
  <c r="D218" i="2"/>
  <c r="D27" i="2"/>
  <c r="D187" i="2"/>
  <c r="D186" i="2"/>
  <c r="D59" i="2"/>
  <c r="D58" i="2"/>
  <c r="D57" i="2"/>
  <c r="D56" i="2"/>
  <c r="D185" i="2"/>
  <c r="D55" i="2"/>
  <c r="D54" i="2"/>
  <c r="D53" i="2"/>
  <c r="D217" i="2"/>
  <c r="D52" i="2"/>
  <c r="D184" i="2"/>
  <c r="D183" i="2"/>
  <c r="D45" i="2"/>
  <c r="D51" i="2"/>
  <c r="D50" i="2"/>
  <c r="D10" i="2"/>
  <c r="C180" i="2"/>
  <c r="C44" i="2"/>
  <c r="C8" i="2"/>
  <c r="C23" i="2"/>
  <c r="C179" i="2"/>
  <c r="C178" i="2"/>
  <c r="C256" i="2"/>
  <c r="C216" i="2"/>
  <c r="C177" i="2"/>
  <c r="C211" i="2"/>
  <c r="C176" i="2"/>
  <c r="C43" i="2"/>
  <c r="C255" i="2"/>
  <c r="C175" i="2"/>
  <c r="C210" i="2"/>
  <c r="C209" i="2"/>
  <c r="C174" i="2"/>
  <c r="C254" i="2"/>
  <c r="C173" i="2"/>
  <c r="C172" i="2"/>
  <c r="C171" i="2"/>
  <c r="C170" i="2"/>
  <c r="C26" i="2"/>
  <c r="C253" i="2"/>
  <c r="C169" i="2"/>
  <c r="C168" i="2"/>
  <c r="C252" i="2"/>
  <c r="C42" i="2"/>
  <c r="C167" i="2"/>
  <c r="C166" i="2"/>
  <c r="C165" i="2"/>
  <c r="C164" i="2"/>
  <c r="C163" i="2"/>
  <c r="C162" i="2"/>
  <c r="C161" i="2"/>
  <c r="C41" i="2"/>
  <c r="C40" i="2"/>
  <c r="C208" i="2"/>
  <c r="C39" i="2"/>
  <c r="C251" i="2"/>
  <c r="C22" i="2"/>
  <c r="C25" i="2"/>
  <c r="C160" i="2"/>
  <c r="C159" i="2"/>
  <c r="C158" i="2"/>
  <c r="C157" i="2"/>
  <c r="C156" i="2"/>
  <c r="C155" i="2"/>
  <c r="C250" i="2"/>
  <c r="C154" i="2"/>
  <c r="C207" i="2"/>
  <c r="C153" i="2"/>
  <c r="C152" i="2"/>
  <c r="C206" i="2"/>
  <c r="C249" i="2"/>
  <c r="C248" i="2"/>
  <c r="C247" i="2"/>
  <c r="C151" i="2"/>
  <c r="C150" i="2"/>
  <c r="C149" i="2"/>
  <c r="C148" i="2"/>
  <c r="C21" i="2"/>
  <c r="C205" i="2"/>
  <c r="C147" i="2"/>
  <c r="C246" i="2"/>
  <c r="C245" i="2"/>
  <c r="C38" i="2"/>
  <c r="C146" i="2"/>
  <c r="C20" i="2"/>
  <c r="C244" i="2"/>
  <c r="C19" i="2"/>
  <c r="C182" i="2"/>
  <c r="C145" i="2"/>
  <c r="C144" i="2"/>
  <c r="C143" i="2"/>
  <c r="C243" i="2"/>
  <c r="C37" i="2"/>
  <c r="C242" i="2"/>
  <c r="C241" i="2"/>
  <c r="C142" i="2"/>
  <c r="C240" i="2"/>
  <c r="C36" i="2"/>
  <c r="C141" i="2"/>
  <c r="C140" i="2"/>
  <c r="C139" i="2"/>
  <c r="C138" i="2"/>
  <c r="C239" i="2"/>
  <c r="C215" i="2"/>
  <c r="C137" i="2"/>
  <c r="C136" i="2"/>
  <c r="C18" i="2"/>
  <c r="C135" i="2"/>
  <c r="C35" i="2"/>
  <c r="C204" i="2"/>
  <c r="C134" i="2"/>
  <c r="C133" i="2"/>
  <c r="C132" i="2"/>
  <c r="C131" i="2"/>
  <c r="C130" i="2"/>
  <c r="C203" i="2"/>
  <c r="C17" i="2"/>
  <c r="C129" i="2"/>
  <c r="C238" i="2"/>
  <c r="C49" i="2"/>
  <c r="C128" i="2"/>
  <c r="C127" i="2"/>
  <c r="C126" i="2"/>
  <c r="C125" i="2"/>
  <c r="C124" i="2"/>
  <c r="C3" i="2"/>
  <c r="C202" i="2"/>
  <c r="C16" i="2"/>
  <c r="C123" i="2"/>
  <c r="C237" i="2"/>
  <c r="C122" i="2"/>
  <c r="C121" i="2"/>
  <c r="C120" i="2"/>
  <c r="C34" i="2"/>
  <c r="C119" i="2"/>
  <c r="C118" i="2"/>
  <c r="C117" i="2"/>
  <c r="C236" i="2"/>
  <c r="C116" i="2"/>
  <c r="C7" i="2"/>
  <c r="C115" i="2"/>
  <c r="C6" i="2"/>
  <c r="C201" i="2"/>
  <c r="C114" i="2"/>
  <c r="C113" i="2"/>
  <c r="C112" i="2"/>
  <c r="C111" i="2"/>
  <c r="C235" i="2"/>
  <c r="C110" i="2"/>
  <c r="C24" i="2"/>
  <c r="C234" i="2"/>
  <c r="C109" i="2"/>
  <c r="C200" i="2"/>
  <c r="C108" i="2"/>
  <c r="C107" i="2"/>
  <c r="C199" i="2"/>
  <c r="C198" i="2"/>
  <c r="C106" i="2"/>
  <c r="C105" i="2"/>
  <c r="C104" i="2"/>
  <c r="C103" i="2"/>
  <c r="C233" i="2"/>
  <c r="C102" i="2"/>
  <c r="C33" i="2"/>
  <c r="C101" i="2"/>
  <c r="C197" i="2"/>
  <c r="C196" i="2"/>
  <c r="C100" i="2"/>
  <c r="C99" i="2"/>
  <c r="C195" i="2"/>
  <c r="C194" i="2"/>
  <c r="C98" i="2"/>
  <c r="C193" i="2"/>
  <c r="C97" i="2"/>
  <c r="C15" i="2"/>
  <c r="C96" i="2"/>
  <c r="C232" i="2"/>
  <c r="C231" i="2"/>
  <c r="C95" i="2"/>
  <c r="C94" i="2"/>
  <c r="C14" i="2"/>
  <c r="C93" i="2"/>
  <c r="C230" i="2"/>
  <c r="C92" i="2"/>
  <c r="C229" i="2"/>
  <c r="C91" i="2"/>
  <c r="C90" i="2"/>
  <c r="C48" i="2"/>
  <c r="C214" i="2"/>
  <c r="C32" i="2"/>
  <c r="C89" i="2"/>
  <c r="C88" i="2"/>
  <c r="C87" i="2"/>
  <c r="C212" i="2"/>
  <c r="C86" i="2"/>
  <c r="C85" i="2"/>
  <c r="C5" i="2"/>
  <c r="C228" i="2"/>
  <c r="C227" i="2"/>
  <c r="C84" i="2"/>
  <c r="C31" i="2"/>
  <c r="C226" i="2"/>
  <c r="C225" i="2"/>
  <c r="C83" i="2"/>
  <c r="C82" i="2"/>
  <c r="C81" i="2"/>
  <c r="C224" i="2"/>
  <c r="C223" i="2"/>
  <c r="C80" i="2"/>
  <c r="C192" i="2"/>
  <c r="C79" i="2"/>
  <c r="C78" i="2"/>
  <c r="C77" i="2"/>
  <c r="C191" i="2"/>
  <c r="C76" i="2"/>
  <c r="C75" i="2"/>
  <c r="C74" i="2"/>
  <c r="C73" i="2"/>
  <c r="C72" i="2"/>
  <c r="C71" i="2"/>
  <c r="C70" i="2"/>
  <c r="C69" i="2"/>
  <c r="C30" i="2"/>
  <c r="C222" i="2"/>
  <c r="C68" i="2"/>
  <c r="C29" i="2"/>
  <c r="C67" i="2"/>
  <c r="C213" i="2"/>
  <c r="C66" i="2"/>
  <c r="C65" i="2"/>
  <c r="C221" i="2"/>
  <c r="C64" i="2"/>
  <c r="C220" i="2"/>
  <c r="C63" i="2"/>
  <c r="C4" i="2"/>
  <c r="C28" i="2"/>
  <c r="C62" i="2"/>
  <c r="C9" i="2"/>
  <c r="C13" i="2"/>
  <c r="C181" i="2"/>
  <c r="C61" i="2"/>
  <c r="C190" i="2"/>
  <c r="C47" i="2"/>
  <c r="C12" i="2"/>
  <c r="C60" i="2"/>
  <c r="C219" i="2"/>
  <c r="C46" i="2"/>
  <c r="C189" i="2"/>
  <c r="C11" i="2"/>
  <c r="C188" i="2"/>
  <c r="C218" i="2"/>
  <c r="C27" i="2"/>
  <c r="C187" i="2"/>
  <c r="C186" i="2"/>
  <c r="C59" i="2"/>
  <c r="C58" i="2"/>
  <c r="C57" i="2"/>
  <c r="C56" i="2"/>
  <c r="C185" i="2"/>
  <c r="C55" i="2"/>
  <c r="C54" i="2"/>
  <c r="C53" i="2"/>
  <c r="C217" i="2"/>
  <c r="C52" i="2"/>
  <c r="C184" i="2"/>
  <c r="C183" i="2"/>
  <c r="C45" i="2"/>
  <c r="C51" i="2"/>
  <c r="C50" i="2"/>
  <c r="C10" i="2"/>
  <c r="B180" i="2"/>
  <c r="B44" i="2"/>
  <c r="B8" i="2"/>
  <c r="B23" i="2"/>
  <c r="B179" i="2"/>
  <c r="B178" i="2"/>
  <c r="B256" i="2"/>
  <c r="B216" i="2"/>
  <c r="B177" i="2"/>
  <c r="B211" i="2"/>
  <c r="B176" i="2"/>
  <c r="B43" i="2"/>
  <c r="B255" i="2"/>
  <c r="B175" i="2"/>
  <c r="B210" i="2"/>
  <c r="B209" i="2"/>
  <c r="B174" i="2"/>
  <c r="B254" i="2"/>
  <c r="B173" i="2"/>
  <c r="B172" i="2"/>
  <c r="B171" i="2"/>
  <c r="B170" i="2"/>
  <c r="B26" i="2"/>
  <c r="B253" i="2"/>
  <c r="B169" i="2"/>
  <c r="B168" i="2"/>
  <c r="B252" i="2"/>
  <c r="B42" i="2"/>
  <c r="B167" i="2"/>
  <c r="B166" i="2"/>
  <c r="B165" i="2"/>
  <c r="B164" i="2"/>
  <c r="B163" i="2"/>
  <c r="B162" i="2"/>
  <c r="B161" i="2"/>
  <c r="B41" i="2"/>
  <c r="B40" i="2"/>
  <c r="B208" i="2"/>
  <c r="B39" i="2"/>
  <c r="B251" i="2"/>
  <c r="B22" i="2"/>
  <c r="B25" i="2"/>
  <c r="B160" i="2"/>
  <c r="B159" i="2"/>
  <c r="B158" i="2"/>
  <c r="B157" i="2"/>
  <c r="B156" i="2"/>
  <c r="B155" i="2"/>
  <c r="B250" i="2"/>
  <c r="B154" i="2"/>
  <c r="B207" i="2"/>
  <c r="B153" i="2"/>
  <c r="B152" i="2"/>
  <c r="B206" i="2"/>
  <c r="B249" i="2"/>
  <c r="B248" i="2"/>
  <c r="B247" i="2"/>
  <c r="B151" i="2"/>
  <c r="B150" i="2"/>
  <c r="B149" i="2"/>
  <c r="B148" i="2"/>
  <c r="B21" i="2"/>
  <c r="B205" i="2"/>
  <c r="B147" i="2"/>
  <c r="B246" i="2"/>
  <c r="B245" i="2"/>
  <c r="B38" i="2"/>
  <c r="B146" i="2"/>
  <c r="B20" i="2"/>
  <c r="B244" i="2"/>
  <c r="B19" i="2"/>
  <c r="B182" i="2"/>
  <c r="B145" i="2"/>
  <c r="B144" i="2"/>
  <c r="B143" i="2"/>
  <c r="B243" i="2"/>
  <c r="B37" i="2"/>
  <c r="B242" i="2"/>
  <c r="B241" i="2"/>
  <c r="B142" i="2"/>
  <c r="B240" i="2"/>
  <c r="B36" i="2"/>
  <c r="B141" i="2"/>
  <c r="B140" i="2"/>
  <c r="B139" i="2"/>
  <c r="B138" i="2"/>
  <c r="B239" i="2"/>
  <c r="B215" i="2"/>
  <c r="B137" i="2"/>
  <c r="B136" i="2"/>
  <c r="B18" i="2"/>
  <c r="B135" i="2"/>
  <c r="B35" i="2"/>
  <c r="B204" i="2"/>
  <c r="B134" i="2"/>
  <c r="B133" i="2"/>
  <c r="B132" i="2"/>
  <c r="B131" i="2"/>
  <c r="B130" i="2"/>
  <c r="B203" i="2"/>
  <c r="B17" i="2"/>
  <c r="B129" i="2"/>
  <c r="B238" i="2"/>
  <c r="B49" i="2"/>
  <c r="B128" i="2"/>
  <c r="B127" i="2"/>
  <c r="B126" i="2"/>
  <c r="B125" i="2"/>
  <c r="B124" i="2"/>
  <c r="B3" i="2"/>
  <c r="B202" i="2"/>
  <c r="B16" i="2"/>
  <c r="B123" i="2"/>
  <c r="B237" i="2"/>
  <c r="B122" i="2"/>
  <c r="B121" i="2"/>
  <c r="B120" i="2"/>
  <c r="B34" i="2"/>
  <c r="B119" i="2"/>
  <c r="B118" i="2"/>
  <c r="B117" i="2"/>
  <c r="B236" i="2"/>
  <c r="B116" i="2"/>
  <c r="B7" i="2"/>
  <c r="B115" i="2"/>
  <c r="B6" i="2"/>
  <c r="B201" i="2"/>
  <c r="B114" i="2"/>
  <c r="B113" i="2"/>
  <c r="B112" i="2"/>
  <c r="B111" i="2"/>
  <c r="B235" i="2"/>
  <c r="B110" i="2"/>
  <c r="B24" i="2"/>
  <c r="B234" i="2"/>
  <c r="B109" i="2"/>
  <c r="B200" i="2"/>
  <c r="B108" i="2"/>
  <c r="B107" i="2"/>
  <c r="B199" i="2"/>
  <c r="B198" i="2"/>
  <c r="B106" i="2"/>
  <c r="B105" i="2"/>
  <c r="B104" i="2"/>
  <c r="B103" i="2"/>
  <c r="B233" i="2"/>
  <c r="B102" i="2"/>
  <c r="B33" i="2"/>
  <c r="B101" i="2"/>
  <c r="B197" i="2"/>
  <c r="B196" i="2"/>
  <c r="B100" i="2"/>
  <c r="B99" i="2"/>
  <c r="B195" i="2"/>
  <c r="B194" i="2"/>
  <c r="B98" i="2"/>
  <c r="B193" i="2"/>
  <c r="B97" i="2"/>
  <c r="B15" i="2"/>
  <c r="B96" i="2"/>
  <c r="B232" i="2"/>
  <c r="B231" i="2"/>
  <c r="B95" i="2"/>
  <c r="B94" i="2"/>
  <c r="B14" i="2"/>
  <c r="B93" i="2"/>
  <c r="B230" i="2"/>
  <c r="B92" i="2"/>
  <c r="B229" i="2"/>
  <c r="B91" i="2"/>
  <c r="B90" i="2"/>
  <c r="B48" i="2"/>
  <c r="B214" i="2"/>
  <c r="B32" i="2"/>
  <c r="B89" i="2"/>
  <c r="B88" i="2"/>
  <c r="B87" i="2"/>
  <c r="B212" i="2"/>
  <c r="B86" i="2"/>
  <c r="B85" i="2"/>
  <c r="B5" i="2"/>
  <c r="B228" i="2"/>
  <c r="B227" i="2"/>
  <c r="B84" i="2"/>
  <c r="B31" i="2"/>
  <c r="B226" i="2"/>
  <c r="B225" i="2"/>
  <c r="B83" i="2"/>
  <c r="B82" i="2"/>
  <c r="B81" i="2"/>
  <c r="B224" i="2"/>
  <c r="B223" i="2"/>
  <c r="B80" i="2"/>
  <c r="B192" i="2"/>
  <c r="B79" i="2"/>
  <c r="B78" i="2"/>
  <c r="B77" i="2"/>
  <c r="B191" i="2"/>
  <c r="B76" i="2"/>
  <c r="B75" i="2"/>
  <c r="B74" i="2"/>
  <c r="B73" i="2"/>
  <c r="B72" i="2"/>
  <c r="B71" i="2"/>
  <c r="B70" i="2"/>
  <c r="B69" i="2"/>
  <c r="B30" i="2"/>
  <c r="B222" i="2"/>
  <c r="B68" i="2"/>
  <c r="B29" i="2"/>
  <c r="B67" i="2"/>
  <c r="B213" i="2"/>
  <c r="B66" i="2"/>
  <c r="B65" i="2"/>
  <c r="B221" i="2"/>
  <c r="B64" i="2"/>
  <c r="B220" i="2"/>
  <c r="B63" i="2"/>
  <c r="B4" i="2"/>
  <c r="B28" i="2"/>
  <c r="B62" i="2"/>
  <c r="B9" i="2"/>
  <c r="B13" i="2"/>
  <c r="B181" i="2"/>
  <c r="B61" i="2"/>
  <c r="B190" i="2"/>
  <c r="B47" i="2"/>
  <c r="B12" i="2"/>
  <c r="B60" i="2"/>
  <c r="B219" i="2"/>
  <c r="B46" i="2"/>
  <c r="B189" i="2"/>
  <c r="B11" i="2"/>
  <c r="B188" i="2"/>
  <c r="B218" i="2"/>
  <c r="B27" i="2"/>
  <c r="B187" i="2"/>
  <c r="B186" i="2"/>
  <c r="B59" i="2"/>
  <c r="B58" i="2"/>
  <c r="B57" i="2"/>
  <c r="B56" i="2"/>
  <c r="B185" i="2"/>
  <c r="B55" i="2"/>
  <c r="B54" i="2"/>
  <c r="B53" i="2"/>
  <c r="B217" i="2"/>
  <c r="B52" i="2"/>
  <c r="B184" i="2"/>
  <c r="B183" i="2"/>
  <c r="B45" i="2"/>
  <c r="B51" i="2"/>
  <c r="B50" i="2"/>
  <c r="B10" i="2"/>
</calcChain>
</file>

<file path=xl/sharedStrings.xml><?xml version="1.0" encoding="utf-8"?>
<sst xmlns="http://schemas.openxmlformats.org/spreadsheetml/2006/main" count="8" uniqueCount="8">
  <si>
    <t>开课学院</t>
    <phoneticPr fontId="1" type="noConversion"/>
  </si>
  <si>
    <t>课程名称</t>
    <phoneticPr fontId="1" type="noConversion"/>
  </si>
  <si>
    <t>课程类型</t>
    <phoneticPr fontId="1" type="noConversion"/>
  </si>
  <si>
    <t>老师姓名</t>
    <phoneticPr fontId="1" type="noConversion"/>
  </si>
  <si>
    <t>助理姓名</t>
    <phoneticPr fontId="1" type="noConversion"/>
  </si>
  <si>
    <t>助理学号</t>
    <phoneticPr fontId="1" type="noConversion"/>
  </si>
  <si>
    <t>序</t>
    <phoneticPr fontId="1" type="noConversion"/>
  </si>
  <si>
    <t>2021-2022-1学期本科课程教学助理名单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</si>
</sst>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4"/>
      <color theme="1"/>
      <name val="方正仿宋简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6CC06-A558-48B7-AE30-E2DFBA313BA9}">
  <dimension ref="A1:G256"/>
  <sheetViews>
    <sheetView tabSelected="1" workbookViewId="0">
      <selection sqref="A1:G1"/>
    </sheetView>
  </sheetViews>
  <sheetFormatPr defaultRowHeight="13.8" x14ac:dyDescent="0.25"/>
  <cols>
    <col min="2" max="2" width="20.21875" bestFit="1" customWidth="1"/>
    <col min="3" max="3" width="44.6640625" bestFit="1" customWidth="1"/>
    <col min="4" max="4" width="15.33203125" bestFit="1" customWidth="1"/>
    <col min="5" max="5" width="19" bestFit="1" customWidth="1"/>
    <col min="6" max="6" width="10.44140625" bestFit="1" customWidth="1"/>
    <col min="7" max="7" width="15.33203125" bestFit="1" customWidth="1"/>
  </cols>
  <sheetData>
    <row r="1" spans="1:7" ht="28.05" customHeight="1" x14ac:dyDescent="0.25">
      <c r="A1" s="4" t="s">
        <v>7</v>
      </c>
      <c r="B1" s="5"/>
      <c r="C1" s="5"/>
      <c r="D1" s="5"/>
      <c r="E1" s="5"/>
      <c r="F1" s="5"/>
      <c r="G1" s="6"/>
    </row>
    <row r="2" spans="1:7" ht="21" customHeight="1" x14ac:dyDescent="0.25">
      <c r="A2" s="1" t="s">
        <v>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 ht="21" customHeight="1" x14ac:dyDescent="0.25">
      <c r="A3" s="2">
        <v>1</v>
      </c>
      <c r="B3" s="1" t="str">
        <f>"财税学院"</f>
        <v>财税学院</v>
      </c>
      <c r="C3" s="3" t="str">
        <f>"国家税收MOOC"</f>
        <v>国家税收MOOC</v>
      </c>
      <c r="D3" s="3" t="str">
        <f>"慕课"</f>
        <v>慕课</v>
      </c>
      <c r="E3" s="3" t="str">
        <f>"郝晓薇"</f>
        <v>郝晓薇</v>
      </c>
      <c r="F3" s="3" t="str">
        <f>"赵双"</f>
        <v>赵双</v>
      </c>
      <c r="G3" s="3" t="str">
        <f>"2190202Z6027"</f>
        <v>2190202Z6027</v>
      </c>
    </row>
    <row r="4" spans="1:7" ht="21" customHeight="1" x14ac:dyDescent="0.25">
      <c r="A4" s="2">
        <v>2</v>
      </c>
      <c r="B4" s="1" t="str">
        <f>"财政税务学院"</f>
        <v>财政税务学院</v>
      </c>
      <c r="C4" s="3" t="str">
        <f>"税法MOOC"</f>
        <v>税法MOOC</v>
      </c>
      <c r="D4" s="3" t="str">
        <f>"慕课"</f>
        <v>慕课</v>
      </c>
      <c r="E4" s="3" t="str">
        <f>"吕敏"</f>
        <v>吕敏</v>
      </c>
      <c r="F4" s="3" t="str">
        <f>"张婷"</f>
        <v>张婷</v>
      </c>
      <c r="G4" s="3" t="str">
        <f>"2200202Z6015"</f>
        <v>2200202Z6015</v>
      </c>
    </row>
    <row r="5" spans="1:7" ht="21" customHeight="1" x14ac:dyDescent="0.25">
      <c r="A5" s="2">
        <v>3</v>
      </c>
      <c r="B5" s="1" t="str">
        <f>"财政税务学院"</f>
        <v>财政税务学院</v>
      </c>
      <c r="C5" s="3" t="str">
        <f>"税收筹划"</f>
        <v>税收筹划</v>
      </c>
      <c r="D5" s="3" t="str">
        <f>"专业必修课"</f>
        <v>专业必修课</v>
      </c>
      <c r="E5" s="3" t="str">
        <f>"刘蓉"</f>
        <v>刘蓉</v>
      </c>
      <c r="F5" s="3" t="str">
        <f>"刘若水"</f>
        <v>刘若水</v>
      </c>
      <c r="G5" s="3" t="str">
        <f>"120020203003"</f>
        <v>120020203003</v>
      </c>
    </row>
    <row r="6" spans="1:7" ht="21" customHeight="1" x14ac:dyDescent="0.25">
      <c r="A6" s="2">
        <v>4</v>
      </c>
      <c r="B6" s="1" t="str">
        <f>"财政税务学院"</f>
        <v>财政税务学院</v>
      </c>
      <c r="C6" s="3" t="str">
        <f>"财政学MOOC"</f>
        <v>财政学MOOC</v>
      </c>
      <c r="D6" s="3" t="str">
        <f>"慕课"</f>
        <v>慕课</v>
      </c>
      <c r="E6" s="3" t="str">
        <f>"周克清"</f>
        <v>周克清</v>
      </c>
      <c r="F6" s="3" t="str">
        <f>"化汝婷"</f>
        <v>化汝婷</v>
      </c>
      <c r="G6" s="3" t="str">
        <f>"120020203006"</f>
        <v>120020203006</v>
      </c>
    </row>
    <row r="7" spans="1:7" ht="21" customHeight="1" x14ac:dyDescent="0.25">
      <c r="A7" s="2">
        <v>5</v>
      </c>
      <c r="B7" s="1" t="str">
        <f>"财政税务学院"</f>
        <v>财政税务学院</v>
      </c>
      <c r="C7" s="3" t="str">
        <f>"税法"</f>
        <v>税法</v>
      </c>
      <c r="D7" s="3" t="str">
        <f>"专业必修课"</f>
        <v>专业必修课</v>
      </c>
      <c r="E7" s="3" t="str">
        <f>"张慧英"</f>
        <v>张慧英</v>
      </c>
      <c r="F7" s="3" t="str">
        <f>"蒲泓锦"</f>
        <v>蒲泓锦</v>
      </c>
      <c r="G7" s="3" t="str">
        <f>"1200202Z6001"</f>
        <v>1200202Z6001</v>
      </c>
    </row>
    <row r="8" spans="1:7" ht="21" customHeight="1" x14ac:dyDescent="0.25">
      <c r="A8" s="2">
        <v>6</v>
      </c>
      <c r="B8" s="1" t="str">
        <f>"财政税务学院"</f>
        <v>财政税务学院</v>
      </c>
      <c r="C8" s="3" t="str">
        <f>"政府会计学MOOC"</f>
        <v>政府会计学MOOC</v>
      </c>
      <c r="D8" s="3" t="str">
        <f>"慕课"</f>
        <v>慕课</v>
      </c>
      <c r="E8" s="3" t="str">
        <f>"周克清"</f>
        <v>周克清</v>
      </c>
      <c r="F8" s="3" t="str">
        <f>"郑皓月"</f>
        <v>郑皓月</v>
      </c>
      <c r="G8" s="3" t="str">
        <f>"119020203005"</f>
        <v>119020203005</v>
      </c>
    </row>
    <row r="9" spans="1:7" ht="21" customHeight="1" x14ac:dyDescent="0.25">
      <c r="A9" s="2">
        <v>7</v>
      </c>
      <c r="B9" s="1" t="str">
        <f>"发展规划处"</f>
        <v>发展规划处</v>
      </c>
      <c r="C9" s="3" t="str">
        <f>"管理学原理"</f>
        <v>管理学原理</v>
      </c>
      <c r="D9" s="3" t="str">
        <f>"大学科基础课"</f>
        <v>大学科基础课</v>
      </c>
      <c r="E9" s="3" t="str">
        <f>"任迎伟"</f>
        <v>任迎伟</v>
      </c>
      <c r="F9" s="3" t="str">
        <f>"任琪琪"</f>
        <v>任琪琪</v>
      </c>
      <c r="G9" s="3" t="str">
        <f>"219120202020"</f>
        <v>219120202020</v>
      </c>
    </row>
    <row r="10" spans="1:7" ht="21" customHeight="1" x14ac:dyDescent="0.25">
      <c r="A10" s="2">
        <v>8</v>
      </c>
      <c r="B10" s="1" t="str">
        <f>"工商管理学院"</f>
        <v>工商管理学院</v>
      </c>
      <c r="C10" s="3" t="str">
        <f>"管理学原理"</f>
        <v>管理学原理</v>
      </c>
      <c r="D10" s="3" t="str">
        <f>"大学科基础课"</f>
        <v>大学科基础课</v>
      </c>
      <c r="E10" s="3" t="str">
        <f>"宋琪"</f>
        <v>宋琪</v>
      </c>
      <c r="F10" s="3" t="str">
        <f>"冯天骄"</f>
        <v>冯天骄</v>
      </c>
      <c r="G10" s="3" t="str">
        <f>"118120202006"</f>
        <v>118120202006</v>
      </c>
    </row>
    <row r="11" spans="1:7" ht="21" customHeight="1" x14ac:dyDescent="0.25">
      <c r="A11" s="2">
        <v>9</v>
      </c>
      <c r="B11" s="1" t="str">
        <f>"工商管理学院"</f>
        <v>工商管理学院</v>
      </c>
      <c r="C11" s="3" t="str">
        <f>"管理学原理"</f>
        <v>管理学原理</v>
      </c>
      <c r="D11" s="3" t="str">
        <f>"大学科基础课"</f>
        <v>大学科基础课</v>
      </c>
      <c r="E11" s="3" t="str">
        <f>"冯俭"</f>
        <v>冯俭</v>
      </c>
      <c r="F11" s="3" t="str">
        <f>"纪旭"</f>
        <v>纪旭</v>
      </c>
      <c r="G11" s="3" t="str">
        <f>"120020204028"</f>
        <v>120020204028</v>
      </c>
    </row>
    <row r="12" spans="1:7" ht="21" customHeight="1" x14ac:dyDescent="0.25">
      <c r="A12" s="2">
        <v>10</v>
      </c>
      <c r="B12" s="1" t="str">
        <f>"工商管理学院"</f>
        <v>工商管理学院</v>
      </c>
      <c r="C12" s="3" t="str">
        <f>"管理学原理"</f>
        <v>管理学原理</v>
      </c>
      <c r="D12" s="3" t="str">
        <f>"大学科基础课"</f>
        <v>大学科基础课</v>
      </c>
      <c r="E12" s="3" t="str">
        <f>"程豹"</f>
        <v>程豹</v>
      </c>
      <c r="F12" s="3" t="str">
        <f>"杨钦云"</f>
        <v>杨钦云</v>
      </c>
      <c r="G12" s="3" t="str">
        <f>"220120202023"</f>
        <v>220120202023</v>
      </c>
    </row>
    <row r="13" spans="1:7" ht="21" customHeight="1" x14ac:dyDescent="0.25">
      <c r="A13" s="2">
        <v>11</v>
      </c>
      <c r="B13" s="1" t="str">
        <f>"工商管理学院"</f>
        <v>工商管理学院</v>
      </c>
      <c r="C13" s="3" t="str">
        <f>"宏观经济学"</f>
        <v>宏观经济学</v>
      </c>
      <c r="D13" s="3" t="str">
        <f>"大学科基础课"</f>
        <v>大学科基础课</v>
      </c>
      <c r="E13" s="3" t="str">
        <f>"刘畅"</f>
        <v>刘畅</v>
      </c>
      <c r="F13" s="3" t="str">
        <f>"刘媛"</f>
        <v>刘媛</v>
      </c>
      <c r="G13" s="3" t="str">
        <f>"220020205006"</f>
        <v>220020205006</v>
      </c>
    </row>
    <row r="14" spans="1:7" ht="21" customHeight="1" x14ac:dyDescent="0.25">
      <c r="A14" s="2">
        <v>12</v>
      </c>
      <c r="B14" s="1" t="str">
        <f>"工商管理学院"</f>
        <v>工商管理学院</v>
      </c>
      <c r="C14" s="3" t="str">
        <f>"管理学原理"</f>
        <v>管理学原理</v>
      </c>
      <c r="D14" s="3" t="str">
        <f>"大学科基础课"</f>
        <v>大学科基础课</v>
      </c>
      <c r="E14" s="3" t="str">
        <f>"李娇阳"</f>
        <v>李娇阳</v>
      </c>
      <c r="F14" s="3" t="str">
        <f>"韦舒妮"</f>
        <v>韦舒妮</v>
      </c>
      <c r="G14" s="3" t="str">
        <f>"219020205010"</f>
        <v>219020205010</v>
      </c>
    </row>
    <row r="15" spans="1:7" ht="21" customHeight="1" x14ac:dyDescent="0.25">
      <c r="A15" s="2">
        <v>13</v>
      </c>
      <c r="B15" s="1" t="str">
        <f>"工商管理学院"</f>
        <v>工商管理学院</v>
      </c>
      <c r="C15" s="3" t="str">
        <f>"互联网+服务系统设计MOOC"</f>
        <v>互联网+服务系统设计MOOC</v>
      </c>
      <c r="D15" s="3" t="str">
        <f>"慕课"</f>
        <v>慕课</v>
      </c>
      <c r="E15" s="3" t="str">
        <f>"张汉鹏"</f>
        <v>张汉鹏</v>
      </c>
      <c r="F15" s="3" t="str">
        <f>"江政孚"</f>
        <v>江政孚</v>
      </c>
      <c r="G15" s="3" t="str">
        <f>"220081203006"</f>
        <v>220081203006</v>
      </c>
    </row>
    <row r="16" spans="1:7" ht="21" customHeight="1" x14ac:dyDescent="0.25">
      <c r="A16" s="2">
        <v>14</v>
      </c>
      <c r="B16" s="1" t="str">
        <f>"工商管理学院"</f>
        <v>工商管理学院</v>
      </c>
      <c r="C16" s="3" t="str">
        <f>"管理信息系统 MOOC"</f>
        <v>管理信息系统 MOOC</v>
      </c>
      <c r="D16" s="3" t="str">
        <f>"慕课"</f>
        <v>慕课</v>
      </c>
      <c r="E16" s="3" t="str">
        <f>"王祎"</f>
        <v>王祎</v>
      </c>
      <c r="F16" s="3" t="str">
        <f>"靳晓曼"</f>
        <v>靳晓曼</v>
      </c>
      <c r="G16" s="3" t="str">
        <f>"119020204052"</f>
        <v>119020204052</v>
      </c>
    </row>
    <row r="17" spans="1:7" ht="21" customHeight="1" x14ac:dyDescent="0.25">
      <c r="A17" s="2">
        <v>15</v>
      </c>
      <c r="B17" s="1" t="str">
        <f>"工商管理学院"</f>
        <v>工商管理学院</v>
      </c>
      <c r="C17" s="3" t="str">
        <f>"管理学原理"</f>
        <v>管理学原理</v>
      </c>
      <c r="D17" s="3" t="str">
        <f>"大学科基础课"</f>
        <v>大学科基础课</v>
      </c>
      <c r="E17" s="3" t="str">
        <f>"刘军军"</f>
        <v>刘军军</v>
      </c>
      <c r="F17" s="3" t="str">
        <f>"陈越"</f>
        <v>陈越</v>
      </c>
      <c r="G17" s="3" t="str">
        <f>"220020204213"</f>
        <v>220020204213</v>
      </c>
    </row>
    <row r="18" spans="1:7" ht="21" customHeight="1" x14ac:dyDescent="0.25">
      <c r="A18" s="2">
        <v>16</v>
      </c>
      <c r="B18" s="1" t="str">
        <f>"工商管理学院"</f>
        <v>工商管理学院</v>
      </c>
      <c r="C18" s="3" t="str">
        <f>"绩效与薪酬管理"</f>
        <v>绩效与薪酬管理</v>
      </c>
      <c r="D18" s="3" t="str">
        <f>"专业方向课"</f>
        <v>专业方向课</v>
      </c>
      <c r="E18" s="3" t="str">
        <f>"郭志刚"</f>
        <v>郭志刚</v>
      </c>
      <c r="F18" s="3" t="str">
        <f>"喻立"</f>
        <v>喻立</v>
      </c>
      <c r="G18" s="3" t="str">
        <f>"2201202Z2003"</f>
        <v>2201202Z2003</v>
      </c>
    </row>
    <row r="19" spans="1:7" ht="21" customHeight="1" x14ac:dyDescent="0.25">
      <c r="A19" s="2">
        <v>17</v>
      </c>
      <c r="B19" s="1" t="str">
        <f>"工商管理学院"</f>
        <v>工商管理学院</v>
      </c>
      <c r="C19" s="3" t="str">
        <f>"创业管理MOOC"</f>
        <v>创业管理MOOC</v>
      </c>
      <c r="D19" s="3" t="str">
        <f>"慕课"</f>
        <v>慕课</v>
      </c>
      <c r="E19" s="3" t="str">
        <f>"徐宏玲"</f>
        <v>徐宏玲</v>
      </c>
      <c r="F19" s="3" t="str">
        <f>"杨凡"</f>
        <v>杨凡</v>
      </c>
      <c r="G19" s="3" t="str">
        <f>"219120202007"</f>
        <v>219120202007</v>
      </c>
    </row>
    <row r="20" spans="1:7" ht="21" customHeight="1" x14ac:dyDescent="0.25">
      <c r="A20" s="2">
        <v>18</v>
      </c>
      <c r="B20" s="1" t="str">
        <f>"工商管理学院"</f>
        <v>工商管理学院</v>
      </c>
      <c r="C20" s="3" t="str">
        <f>"管理学原理"</f>
        <v>管理学原理</v>
      </c>
      <c r="D20" s="3" t="str">
        <f>"大学科基础课"</f>
        <v>大学科基础课</v>
      </c>
      <c r="E20" s="3" t="str">
        <f>"王玉梅"</f>
        <v>王玉梅</v>
      </c>
      <c r="F20" s="3" t="str">
        <f>"张潇雪"</f>
        <v>张潇雪</v>
      </c>
      <c r="G20" s="3" t="str">
        <f>"120020204029"</f>
        <v>120020204029</v>
      </c>
    </row>
    <row r="21" spans="1:7" ht="21" customHeight="1" x14ac:dyDescent="0.25">
      <c r="A21" s="2">
        <v>19</v>
      </c>
      <c r="B21" s="1" t="str">
        <f>"工商管理学院"</f>
        <v>工商管理学院</v>
      </c>
      <c r="C21" s="3" t="str">
        <f>"管理学原理"</f>
        <v>管理学原理</v>
      </c>
      <c r="D21" s="3" t="str">
        <f>"大学科基础课"</f>
        <v>大学科基础课</v>
      </c>
      <c r="E21" s="3" t="str">
        <f>"付嵘"</f>
        <v>付嵘</v>
      </c>
      <c r="F21" s="3" t="str">
        <f>"王垚"</f>
        <v>王垚</v>
      </c>
      <c r="G21" s="3" t="str">
        <f>"119020204051"</f>
        <v>119020204051</v>
      </c>
    </row>
    <row r="22" spans="1:7" ht="21" customHeight="1" x14ac:dyDescent="0.25">
      <c r="A22" s="2">
        <v>20</v>
      </c>
      <c r="B22" s="1" t="str">
        <f>"工商管理学院"</f>
        <v>工商管理学院</v>
      </c>
      <c r="C22" s="3" t="str">
        <f>"市场营销学MOOC"</f>
        <v>市场营销学MOOC</v>
      </c>
      <c r="D22" s="3" t="str">
        <f>"慕课"</f>
        <v>慕课</v>
      </c>
      <c r="E22" s="3" t="str">
        <f>"白璇"</f>
        <v>白璇</v>
      </c>
      <c r="F22" s="3" t="str">
        <f>"杨璐"</f>
        <v>杨璐</v>
      </c>
      <c r="G22" s="3" t="str">
        <f>"2191202Z5021"</f>
        <v>2191202Z5021</v>
      </c>
    </row>
    <row r="23" spans="1:7" ht="21" customHeight="1" x14ac:dyDescent="0.25">
      <c r="A23" s="2">
        <v>21</v>
      </c>
      <c r="B23" s="1" t="str">
        <f>"工商管理学院"</f>
        <v>工商管理学院</v>
      </c>
      <c r="C23" s="3" t="str">
        <f>"人力资源管理学 MOOC"</f>
        <v>人力资源管理学 MOOC</v>
      </c>
      <c r="D23" s="3" t="str">
        <f>"慕课"</f>
        <v>慕课</v>
      </c>
      <c r="E23" s="3" t="str">
        <f>"卿涛"</f>
        <v>卿涛</v>
      </c>
      <c r="F23" s="3" t="str">
        <f>"穆鑫岩"</f>
        <v>穆鑫岩</v>
      </c>
      <c r="G23" s="3" t="str">
        <f>"1191202Z2001"</f>
        <v>1191202Z2001</v>
      </c>
    </row>
    <row r="24" spans="1:7" ht="21" customHeight="1" x14ac:dyDescent="0.25">
      <c r="A24" s="2">
        <v>22</v>
      </c>
      <c r="B24" s="1" t="str">
        <f>"国际商学院"</f>
        <v>国际商学院</v>
      </c>
      <c r="C24" s="3" t="str">
        <f>"商业模式创新与创业MOOC"</f>
        <v>商业模式创新与创业MOOC</v>
      </c>
      <c r="D24" s="3" t="str">
        <f>"慕课"</f>
        <v>慕课</v>
      </c>
      <c r="E24" s="3" t="str">
        <f>"熊立"</f>
        <v>熊立</v>
      </c>
      <c r="F24" s="3" t="str">
        <f>"廖丹"</f>
        <v>廖丹</v>
      </c>
      <c r="G24" s="3" t="str">
        <f>"220120202008"</f>
        <v>220120202008</v>
      </c>
    </row>
    <row r="25" spans="1:7" ht="21" customHeight="1" x14ac:dyDescent="0.25">
      <c r="A25" s="2">
        <v>23</v>
      </c>
      <c r="B25" s="1" t="str">
        <f>"国际商学院"</f>
        <v>国际商学院</v>
      </c>
      <c r="C25" s="3" t="str">
        <f>"国际商务MOOC"</f>
        <v>国际商务MOOC</v>
      </c>
      <c r="D25" s="3" t="str">
        <f>"慕课"</f>
        <v>慕课</v>
      </c>
      <c r="E25" s="3" t="str">
        <f>"王佳芥"</f>
        <v>王佳芥</v>
      </c>
      <c r="F25" s="3" t="str">
        <f>"刘欢"</f>
        <v>刘欢</v>
      </c>
      <c r="G25" s="3" t="str">
        <f>"120020204030"</f>
        <v>120020204030</v>
      </c>
    </row>
    <row r="26" spans="1:7" ht="21" customHeight="1" x14ac:dyDescent="0.25">
      <c r="A26" s="2">
        <v>24</v>
      </c>
      <c r="B26" s="1" t="str">
        <f>"国际商学院"</f>
        <v>国际商学院</v>
      </c>
      <c r="C26" s="3" t="str">
        <f>"Intermediate Microeconomics MOOC"</f>
        <v>Intermediate Microeconomics MOOC</v>
      </c>
      <c r="D26" s="3" t="str">
        <f>"慕课"</f>
        <v>慕课</v>
      </c>
      <c r="E26" s="3" t="str">
        <f>"刘媛媛"</f>
        <v>刘媛媛</v>
      </c>
      <c r="F26" s="3" t="str">
        <f>"王玉婷"</f>
        <v>王玉婷</v>
      </c>
      <c r="G26" s="3" t="str">
        <f>"120020204034"</f>
        <v>120020204034</v>
      </c>
    </row>
    <row r="27" spans="1:7" ht="21" customHeight="1" x14ac:dyDescent="0.25">
      <c r="A27" s="2">
        <v>25</v>
      </c>
      <c r="B27" s="1" t="str">
        <f>"会计学院"</f>
        <v>会计学院</v>
      </c>
      <c r="C27" s="3" t="str">
        <f>"会计学"</f>
        <v>会计学</v>
      </c>
      <c r="D27" s="3" t="str">
        <f>"大学科基础课"</f>
        <v>大学科基础课</v>
      </c>
      <c r="E27" s="3" t="str">
        <f>"张倩倩"</f>
        <v>张倩倩</v>
      </c>
      <c r="F27" s="3" t="str">
        <f>"姜春子"</f>
        <v>姜春子</v>
      </c>
      <c r="G27" s="3" t="str">
        <f>"119020204010"</f>
        <v>119020204010</v>
      </c>
    </row>
    <row r="28" spans="1:7" ht="21" customHeight="1" x14ac:dyDescent="0.25">
      <c r="A28" s="2">
        <v>26</v>
      </c>
      <c r="B28" s="1" t="str">
        <f>"会计学院"</f>
        <v>会计学院</v>
      </c>
      <c r="C28" s="3" t="str">
        <f>"会计学"</f>
        <v>会计学</v>
      </c>
      <c r="D28" s="3" t="str">
        <f>"大学科基础课"</f>
        <v>大学科基础课</v>
      </c>
      <c r="E28" s="3" t="str">
        <f>"张倩倩"</f>
        <v>张倩倩</v>
      </c>
      <c r="F28" s="3" t="str">
        <f>"朱磊"</f>
        <v>朱磊</v>
      </c>
      <c r="G28" s="3" t="str">
        <f>"118120201007"</f>
        <v>118120201007</v>
      </c>
    </row>
    <row r="29" spans="1:7" ht="21" customHeight="1" x14ac:dyDescent="0.25">
      <c r="A29" s="2">
        <v>27</v>
      </c>
      <c r="B29" s="1" t="str">
        <f>"会计学院"</f>
        <v>会计学院</v>
      </c>
      <c r="C29" s="3" t="str">
        <f>"会计学"</f>
        <v>会计学</v>
      </c>
      <c r="D29" s="3" t="str">
        <f>"大学科基础课"</f>
        <v>大学科基础课</v>
      </c>
      <c r="E29" s="3" t="str">
        <f>"郭峨"</f>
        <v>郭峨</v>
      </c>
      <c r="F29" s="3" t="str">
        <f>"王治"</f>
        <v>王治</v>
      </c>
      <c r="G29" s="3" t="str">
        <f>"120120201003"</f>
        <v>120120201003</v>
      </c>
    </row>
    <row r="30" spans="1:7" ht="21" customHeight="1" x14ac:dyDescent="0.25">
      <c r="A30" s="2">
        <v>28</v>
      </c>
      <c r="B30" s="1" t="str">
        <f>"会计学院"</f>
        <v>会计学院</v>
      </c>
      <c r="C30" s="3" t="str">
        <f>"会计学"</f>
        <v>会计学</v>
      </c>
      <c r="D30" s="3" t="str">
        <f>"大学科基础课"</f>
        <v>大学科基础课</v>
      </c>
      <c r="E30" s="3" t="str">
        <f>"张力"</f>
        <v>张力</v>
      </c>
      <c r="F30" s="3" t="str">
        <f>"韦浪"</f>
        <v>韦浪</v>
      </c>
      <c r="G30" s="3" t="str">
        <f>"1161202Z6004"</f>
        <v>1161202Z6004</v>
      </c>
    </row>
    <row r="31" spans="1:7" ht="21" customHeight="1" x14ac:dyDescent="0.25">
      <c r="A31" s="2">
        <v>29</v>
      </c>
      <c r="B31" s="1" t="str">
        <f>"会计学院"</f>
        <v>会计学院</v>
      </c>
      <c r="C31" s="3" t="str">
        <f>"综合能力训练（ERP模拟经营沙盘）MOOC"</f>
        <v>综合能力训练（ERP模拟经营沙盘）MOOC</v>
      </c>
      <c r="D31" s="3" t="str">
        <f>"慕课"</f>
        <v>慕课</v>
      </c>
      <c r="E31" s="3" t="str">
        <f>"邹燕"</f>
        <v>邹燕</v>
      </c>
      <c r="F31" s="3" t="str">
        <f>"李姝"</f>
        <v>李姝</v>
      </c>
      <c r="G31" s="3" t="str">
        <f>"1181202Z9003"</f>
        <v>1181202Z9003</v>
      </c>
    </row>
    <row r="32" spans="1:7" ht="21" customHeight="1" x14ac:dyDescent="0.25">
      <c r="A32" s="2">
        <v>30</v>
      </c>
      <c r="B32" s="1" t="str">
        <f>"会计学院"</f>
        <v>会计学院</v>
      </c>
      <c r="C32" s="3" t="str">
        <f>"会计学"</f>
        <v>会计学</v>
      </c>
      <c r="D32" s="3" t="str">
        <f>"大学科基础课"</f>
        <v>大学科基础课</v>
      </c>
      <c r="E32" s="3" t="str">
        <f>"杨鸣京"</f>
        <v>杨鸣京</v>
      </c>
      <c r="F32" s="3" t="str">
        <f>"徐藩"</f>
        <v>徐藩</v>
      </c>
      <c r="G32" s="3" t="str">
        <f>"120120201002"</f>
        <v>120120201002</v>
      </c>
    </row>
    <row r="33" spans="1:7" ht="21" customHeight="1" x14ac:dyDescent="0.25">
      <c r="A33" s="2">
        <v>31</v>
      </c>
      <c r="B33" s="1" t="str">
        <f>"会计学院"</f>
        <v>会计学院</v>
      </c>
      <c r="C33" s="3" t="str">
        <f>"会计学"</f>
        <v>会计学</v>
      </c>
      <c r="D33" s="3" t="str">
        <f>"大学科基础课"</f>
        <v>大学科基础课</v>
      </c>
      <c r="E33" s="3" t="str">
        <f>"张力"</f>
        <v>张力</v>
      </c>
      <c r="F33" s="3" t="str">
        <f>"张翼凌"</f>
        <v>张翼凌</v>
      </c>
      <c r="G33" s="3" t="str">
        <f>"117120297001"</f>
        <v>117120297001</v>
      </c>
    </row>
    <row r="34" spans="1:7" ht="21" customHeight="1" x14ac:dyDescent="0.25">
      <c r="A34" s="2">
        <v>32</v>
      </c>
      <c r="B34" s="1" t="str">
        <f>"会计学院"</f>
        <v>会计学院</v>
      </c>
      <c r="C34" s="3" t="str">
        <f>"会计学"</f>
        <v>会计学</v>
      </c>
      <c r="D34" s="3" t="str">
        <f>"大学科基础课"</f>
        <v>大学科基础课</v>
      </c>
      <c r="E34" s="3" t="str">
        <f>"李海燕"</f>
        <v>李海燕</v>
      </c>
      <c r="F34" s="3" t="str">
        <f>"黄婉"</f>
        <v>黄婉</v>
      </c>
      <c r="G34" s="3" t="str">
        <f>"119120201002"</f>
        <v>119120201002</v>
      </c>
    </row>
    <row r="35" spans="1:7" ht="21" customHeight="1" x14ac:dyDescent="0.25">
      <c r="A35" s="2">
        <v>33</v>
      </c>
      <c r="B35" s="1" t="str">
        <f>"会计学院"</f>
        <v>会计学院</v>
      </c>
      <c r="C35" s="3" t="str">
        <f>"会计学"</f>
        <v>会计学</v>
      </c>
      <c r="D35" s="3" t="str">
        <f>"大学科基础课"</f>
        <v>大学科基础课</v>
      </c>
      <c r="E35" s="3" t="str">
        <f>"李海燕"</f>
        <v>李海燕</v>
      </c>
      <c r="F35" s="3" t="str">
        <f>"吴君凤"</f>
        <v>吴君凤</v>
      </c>
      <c r="G35" s="3" t="str">
        <f>"1191202Z6001"</f>
        <v>1191202Z6001</v>
      </c>
    </row>
    <row r="36" spans="1:7" ht="21" customHeight="1" x14ac:dyDescent="0.25">
      <c r="A36" s="2">
        <v>34</v>
      </c>
      <c r="B36" s="1" t="str">
        <f>"会计学院"</f>
        <v>会计学院</v>
      </c>
      <c r="C36" s="3" t="str">
        <f>"会计学"</f>
        <v>会计学</v>
      </c>
      <c r="D36" s="3" t="str">
        <f>"大学科基础课"</f>
        <v>大学科基础课</v>
      </c>
      <c r="E36" s="3" t="str">
        <f>"曾昌礼"</f>
        <v>曾昌礼</v>
      </c>
      <c r="F36" s="3" t="str">
        <f>"宇文蕙兰"</f>
        <v>宇文蕙兰</v>
      </c>
      <c r="G36" s="3" t="str">
        <f>"119120201006"</f>
        <v>119120201006</v>
      </c>
    </row>
    <row r="37" spans="1:7" ht="21" customHeight="1" x14ac:dyDescent="0.25">
      <c r="A37" s="2">
        <v>35</v>
      </c>
      <c r="B37" s="1" t="str">
        <f>"会计学院"</f>
        <v>会计学院</v>
      </c>
      <c r="C37" s="3" t="str">
        <f>"管理会计学MOOC"</f>
        <v>管理会计学MOOC</v>
      </c>
      <c r="D37" s="3" t="str">
        <f>"慕课"</f>
        <v>慕课</v>
      </c>
      <c r="E37" s="3" t="str">
        <f>"李玉周"</f>
        <v>李玉周</v>
      </c>
      <c r="F37" s="3" t="str">
        <f>"张婷睿"</f>
        <v>张婷睿</v>
      </c>
      <c r="G37" s="3" t="str">
        <f>"220120201034"</f>
        <v>220120201034</v>
      </c>
    </row>
    <row r="38" spans="1:7" ht="21" customHeight="1" x14ac:dyDescent="0.25">
      <c r="A38" s="2">
        <v>36</v>
      </c>
      <c r="B38" s="1" t="str">
        <f>"会计学院"</f>
        <v>会计学院</v>
      </c>
      <c r="C38" s="3" t="str">
        <f>"审计学MOOC"</f>
        <v>审计学MOOC</v>
      </c>
      <c r="D38" s="3" t="str">
        <f>"慕课"</f>
        <v>慕课</v>
      </c>
      <c r="E38" s="3" t="str">
        <f>"李越冬"</f>
        <v>李越冬</v>
      </c>
      <c r="F38" s="3" t="str">
        <f>"郑倩雯"</f>
        <v>郑倩雯</v>
      </c>
      <c r="G38" s="3" t="str">
        <f>"1161202Z7003"</f>
        <v>1161202Z7003</v>
      </c>
    </row>
    <row r="39" spans="1:7" ht="21" customHeight="1" x14ac:dyDescent="0.25">
      <c r="A39" s="2">
        <v>37</v>
      </c>
      <c r="B39" s="1" t="str">
        <f>"会计学院"</f>
        <v>会计学院</v>
      </c>
      <c r="C39" s="3" t="str">
        <f>"The Principle of AuditingMOOC"</f>
        <v>The Principle of AuditingMOOC</v>
      </c>
      <c r="D39" s="3" t="str">
        <f>"慕课"</f>
        <v>慕课</v>
      </c>
      <c r="E39" s="3" t="str">
        <f>"李越冬"</f>
        <v>李越冬</v>
      </c>
      <c r="F39" s="3" t="str">
        <f>"文雅迪"</f>
        <v>文雅迪</v>
      </c>
      <c r="G39" s="3" t="str">
        <f>"1191202Z6006"</f>
        <v>1191202Z6006</v>
      </c>
    </row>
    <row r="40" spans="1:7" ht="21" customHeight="1" x14ac:dyDescent="0.25">
      <c r="A40" s="2">
        <v>38</v>
      </c>
      <c r="B40" s="1" t="str">
        <f>"会计学院"</f>
        <v>会计学院</v>
      </c>
      <c r="C40" s="3" t="str">
        <f>"会计学"</f>
        <v>会计学</v>
      </c>
      <c r="D40" s="3" t="str">
        <f>"大学科基础课"</f>
        <v>大学科基础课</v>
      </c>
      <c r="E40" s="3" t="str">
        <f>"李朝霞"</f>
        <v>李朝霞</v>
      </c>
      <c r="F40" s="3" t="str">
        <f>"王钰铃"</f>
        <v>王钰铃</v>
      </c>
      <c r="G40" s="3" t="str">
        <f>"219120201027"</f>
        <v>219120201027</v>
      </c>
    </row>
    <row r="41" spans="1:7" ht="21" customHeight="1" x14ac:dyDescent="0.25">
      <c r="A41" s="2">
        <v>39</v>
      </c>
      <c r="B41" s="1" t="str">
        <f>"会计学院"</f>
        <v>会计学院</v>
      </c>
      <c r="C41" s="3" t="str">
        <f>"The Principle of AuditingMOOC"</f>
        <v>The Principle of AuditingMOOC</v>
      </c>
      <c r="D41" s="3" t="str">
        <f>"慕课"</f>
        <v>慕课</v>
      </c>
      <c r="E41" s="3" t="str">
        <f>"李越冬"</f>
        <v>李越冬</v>
      </c>
      <c r="F41" s="3" t="str">
        <f>"程杰"</f>
        <v>程杰</v>
      </c>
      <c r="G41" s="3" t="str">
        <f>"1191202Z6005"</f>
        <v>1191202Z6005</v>
      </c>
    </row>
    <row r="42" spans="1:7" ht="21" customHeight="1" x14ac:dyDescent="0.25">
      <c r="A42" s="2">
        <v>40</v>
      </c>
      <c r="B42" s="1" t="str">
        <f>"会计学院"</f>
        <v>会计学院</v>
      </c>
      <c r="C42" s="3" t="str">
        <f>"会计学"</f>
        <v>会计学</v>
      </c>
      <c r="D42" s="3" t="str">
        <f>"大学科基础课"</f>
        <v>大学科基础课</v>
      </c>
      <c r="E42" s="3" t="str">
        <f>"郭峨"</f>
        <v>郭峨</v>
      </c>
      <c r="F42" s="3" t="str">
        <f>"赵良凯"</f>
        <v>赵良凯</v>
      </c>
      <c r="G42" s="3" t="str">
        <f>"119120201005"</f>
        <v>119120201005</v>
      </c>
    </row>
    <row r="43" spans="1:7" ht="21" customHeight="1" x14ac:dyDescent="0.25">
      <c r="A43" s="2">
        <v>41</v>
      </c>
      <c r="B43" s="1" t="str">
        <f>"会计学院"</f>
        <v>会计学院</v>
      </c>
      <c r="C43" s="3" t="str">
        <f>"会计学"</f>
        <v>会计学</v>
      </c>
      <c r="D43" s="3" t="str">
        <f>"大学科基础课"</f>
        <v>大学科基础课</v>
      </c>
      <c r="E43" s="3" t="str">
        <f>"李朝霞"</f>
        <v>李朝霞</v>
      </c>
      <c r="F43" s="3" t="str">
        <f>"岳佳彬"</f>
        <v>岳佳彬</v>
      </c>
      <c r="G43" s="3" t="str">
        <f>"2191202Z6027"</f>
        <v>2191202Z6027</v>
      </c>
    </row>
    <row r="44" spans="1:7" ht="21" customHeight="1" x14ac:dyDescent="0.25">
      <c r="A44" s="2">
        <v>42</v>
      </c>
      <c r="B44" s="1" t="str">
        <f>"会计学院"</f>
        <v>会计学院</v>
      </c>
      <c r="C44" s="3" t="str">
        <f>"审计学MOOC"</f>
        <v>审计学MOOC</v>
      </c>
      <c r="D44" s="3" t="str">
        <f>"慕课"</f>
        <v>慕课</v>
      </c>
      <c r="E44" s="3" t="str">
        <f>"李越冬"</f>
        <v>李越冬</v>
      </c>
      <c r="F44" s="3" t="str">
        <f>"高添"</f>
        <v>高添</v>
      </c>
      <c r="G44" s="3" t="str">
        <f>"219120201005"</f>
        <v>219120201005</v>
      </c>
    </row>
    <row r="45" spans="1:7" ht="21" customHeight="1" x14ac:dyDescent="0.25">
      <c r="A45" s="2">
        <v>43</v>
      </c>
      <c r="B45" s="1" t="str">
        <f>"金融学院"</f>
        <v>金融学院</v>
      </c>
      <c r="C45" s="3" t="str">
        <f>"货币金融学"</f>
        <v>货币金融学</v>
      </c>
      <c r="D45" s="3" t="str">
        <f>"大学科基础课"</f>
        <v>大学科基础课</v>
      </c>
      <c r="E45" s="3" t="str">
        <f>"周丽晖"</f>
        <v>周丽晖</v>
      </c>
      <c r="F45" s="3" t="str">
        <f>"王艳芳"</f>
        <v>王艳芳</v>
      </c>
      <c r="G45" s="3" t="str">
        <f>"220020204056"</f>
        <v>220020204056</v>
      </c>
    </row>
    <row r="46" spans="1:7" ht="21" customHeight="1" x14ac:dyDescent="0.25">
      <c r="A46" s="2">
        <v>44</v>
      </c>
      <c r="B46" s="1" t="str">
        <f>"金融学院"</f>
        <v>金融学院</v>
      </c>
      <c r="C46" s="3" t="str">
        <f>"货币金融学"</f>
        <v>货币金融学</v>
      </c>
      <c r="D46" s="3" t="str">
        <f>"大学科基础课"</f>
        <v>大学科基础课</v>
      </c>
      <c r="E46" s="3" t="str">
        <f>"戴艳萍"</f>
        <v>戴艳萍</v>
      </c>
      <c r="F46" s="3" t="str">
        <f>"王慧欣"</f>
        <v>王慧欣</v>
      </c>
      <c r="G46" s="3" t="str">
        <f>"120020204025"</f>
        <v>120020204025</v>
      </c>
    </row>
    <row r="47" spans="1:7" ht="21" customHeight="1" x14ac:dyDescent="0.25">
      <c r="A47" s="2">
        <v>45</v>
      </c>
      <c r="B47" s="1" t="str">
        <f>"金融学院"</f>
        <v>金融学院</v>
      </c>
      <c r="C47" s="3" t="str">
        <f>"货币金融学"</f>
        <v>货币金融学</v>
      </c>
      <c r="D47" s="3" t="str">
        <f>"大学科基础课"</f>
        <v>大学科基础课</v>
      </c>
      <c r="E47" s="3" t="str">
        <f>"陈懋龙"</f>
        <v>陈懋龙</v>
      </c>
      <c r="F47" s="3" t="str">
        <f>"李钰琪"</f>
        <v>李钰琪</v>
      </c>
      <c r="G47" s="3" t="str">
        <f>"220020204059"</f>
        <v>220020204059</v>
      </c>
    </row>
    <row r="48" spans="1:7" ht="21" customHeight="1" x14ac:dyDescent="0.25">
      <c r="A48" s="2">
        <v>46</v>
      </c>
      <c r="B48" s="1" t="str">
        <f>"金融学院"</f>
        <v>金融学院</v>
      </c>
      <c r="C48" s="3" t="str">
        <f>"货币金融学"</f>
        <v>货币金融学</v>
      </c>
      <c r="D48" s="3" t="str">
        <f>"大学科基础课"</f>
        <v>大学科基础课</v>
      </c>
      <c r="E48" s="3" t="str">
        <f>"周丽晖"</f>
        <v>周丽晖</v>
      </c>
      <c r="F48" s="3" t="str">
        <f>"陈永韬"</f>
        <v>陈永韬</v>
      </c>
      <c r="G48" s="3" t="str">
        <f>"120020204024"</f>
        <v>120020204024</v>
      </c>
    </row>
    <row r="49" spans="1:7" ht="21" customHeight="1" x14ac:dyDescent="0.25">
      <c r="A49" s="2">
        <v>47</v>
      </c>
      <c r="B49" s="1" t="str">
        <f>"金融学院"</f>
        <v>金融学院</v>
      </c>
      <c r="C49" s="3" t="str">
        <f>"货币金融学"</f>
        <v>货币金融学</v>
      </c>
      <c r="D49" s="3" t="str">
        <f>"大学科基础课"</f>
        <v>大学科基础课</v>
      </c>
      <c r="E49" s="3" t="str">
        <f>"戴艳萍"</f>
        <v>戴艳萍</v>
      </c>
      <c r="F49" s="3" t="str">
        <f>"韩明明"</f>
        <v>韩明明</v>
      </c>
      <c r="G49" s="3" t="str">
        <f>"118020202002"</f>
        <v>118020202002</v>
      </c>
    </row>
    <row r="50" spans="1:7" ht="21" customHeight="1" x14ac:dyDescent="0.25">
      <c r="A50" s="2">
        <v>48</v>
      </c>
      <c r="B50" s="1" t="str">
        <f>"经济数学学院"</f>
        <v>经济数学学院</v>
      </c>
      <c r="C50" s="3" t="str">
        <f>"概率论（理科）"</f>
        <v>概率论（理科）</v>
      </c>
      <c r="D50" s="3" t="str">
        <f>"通识基础课"</f>
        <v>通识基础课</v>
      </c>
      <c r="E50" s="3" t="str">
        <f>"岳佳"</f>
        <v>岳佳</v>
      </c>
      <c r="F50" s="3" t="str">
        <f>"何宇航"</f>
        <v>何宇航</v>
      </c>
      <c r="G50" s="3" t="str">
        <f>"120020208003"</f>
        <v>120020208003</v>
      </c>
    </row>
    <row r="51" spans="1:7" ht="21" customHeight="1" x14ac:dyDescent="0.25">
      <c r="A51" s="2">
        <v>49</v>
      </c>
      <c r="B51" s="1" t="str">
        <f>"经济数学学院"</f>
        <v>经济数学学院</v>
      </c>
      <c r="C51" s="3" t="str">
        <f>"高等代数Ⅰ"</f>
        <v>高等代数Ⅰ</v>
      </c>
      <c r="D51" s="3" t="str">
        <f>"通识基础课"</f>
        <v>通识基础课</v>
      </c>
      <c r="E51" s="3" t="str">
        <f>"吴曦"</f>
        <v>吴曦</v>
      </c>
      <c r="F51" s="3" t="str">
        <f>"汪佩雯"</f>
        <v>汪佩雯</v>
      </c>
      <c r="G51" s="3" t="str">
        <f>"119020204054"</f>
        <v>119020204054</v>
      </c>
    </row>
    <row r="52" spans="1:7" ht="21" customHeight="1" x14ac:dyDescent="0.25">
      <c r="A52" s="2">
        <v>50</v>
      </c>
      <c r="B52" s="1" t="str">
        <f>"经济数学学院"</f>
        <v>经济数学学院</v>
      </c>
      <c r="C52" s="3" t="str">
        <f>"高等代数Ⅰ"</f>
        <v>高等代数Ⅰ</v>
      </c>
      <c r="D52" s="3" t="str">
        <f>"通识基础课"</f>
        <v>通识基础课</v>
      </c>
      <c r="E52" s="3" t="str">
        <f>"樊胜"</f>
        <v>樊胜</v>
      </c>
      <c r="F52" s="3" t="str">
        <f>"付靖"</f>
        <v>付靖</v>
      </c>
      <c r="G52" s="3" t="str">
        <f>"1200202Z1009"</f>
        <v>1200202Z1009</v>
      </c>
    </row>
    <row r="53" spans="1:7" ht="21" customHeight="1" x14ac:dyDescent="0.25">
      <c r="A53" s="2">
        <v>51</v>
      </c>
      <c r="B53" s="1" t="str">
        <f>"经济数学学院"</f>
        <v>经济数学学院</v>
      </c>
      <c r="C53" s="3" t="str">
        <f>"概率论（理科）"</f>
        <v>概率论（理科）</v>
      </c>
      <c r="D53" s="3" t="str">
        <f>"通识基础课"</f>
        <v>通识基础课</v>
      </c>
      <c r="E53" s="3" t="str">
        <f>"赖绍永"</f>
        <v>赖绍永</v>
      </c>
      <c r="F53" s="3" t="str">
        <f>"梁书源"</f>
        <v>梁书源</v>
      </c>
      <c r="G53" s="3" t="str">
        <f>"120020104008"</f>
        <v>120020104008</v>
      </c>
    </row>
    <row r="54" spans="1:7" ht="21" customHeight="1" x14ac:dyDescent="0.25">
      <c r="A54" s="2">
        <v>52</v>
      </c>
      <c r="B54" s="1" t="str">
        <f>"经济数学学院"</f>
        <v>经济数学学院</v>
      </c>
      <c r="C54" s="3" t="str">
        <f>"概率论（理科）"</f>
        <v>概率论（理科）</v>
      </c>
      <c r="D54" s="3" t="str">
        <f>"通识基础课"</f>
        <v>通识基础课</v>
      </c>
      <c r="E54" s="3" t="str">
        <f>"杨扬"</f>
        <v>杨扬</v>
      </c>
      <c r="F54" s="3" t="str">
        <f>"冷萱"</f>
        <v>冷萱</v>
      </c>
      <c r="G54" s="3" t="str">
        <f>"120020104007"</f>
        <v>120020104007</v>
      </c>
    </row>
    <row r="55" spans="1:7" ht="21" customHeight="1" x14ac:dyDescent="0.25">
      <c r="A55" s="2">
        <v>53</v>
      </c>
      <c r="B55" s="1" t="str">
        <f>"经济数学学院"</f>
        <v>经济数学学院</v>
      </c>
      <c r="C55" s="3" t="str">
        <f>"机器学习数学基础"</f>
        <v>机器学习数学基础</v>
      </c>
      <c r="D55" s="3" t="str">
        <f>"通识基础课"</f>
        <v>通识基础课</v>
      </c>
      <c r="E55" s="3" t="str">
        <f>"赵建容"</f>
        <v>赵建容</v>
      </c>
      <c r="F55" s="3" t="str">
        <f>"王智宇"</f>
        <v>王智宇</v>
      </c>
      <c r="G55" s="3" t="str">
        <f>"2200202Z1004"</f>
        <v>2200202Z1004</v>
      </c>
    </row>
    <row r="56" spans="1:7" ht="21" customHeight="1" x14ac:dyDescent="0.25">
      <c r="A56" s="2">
        <v>54</v>
      </c>
      <c r="B56" s="1" t="str">
        <f>"经济数学学院"</f>
        <v>经济数学学院</v>
      </c>
      <c r="C56" s="3" t="str">
        <f>"概率论（理科）"</f>
        <v>概率论（理科）</v>
      </c>
      <c r="D56" s="3" t="str">
        <f>"通识基础课"</f>
        <v>通识基础课</v>
      </c>
      <c r="E56" s="3" t="str">
        <f>"王鸣晖"</f>
        <v>王鸣晖</v>
      </c>
      <c r="F56" s="3" t="str">
        <f>"张国毅"</f>
        <v>张国毅</v>
      </c>
      <c r="G56" s="3" t="str">
        <f>"120020101003"</f>
        <v>120020101003</v>
      </c>
    </row>
    <row r="57" spans="1:7" ht="21" customHeight="1" x14ac:dyDescent="0.25">
      <c r="A57" s="2">
        <v>55</v>
      </c>
      <c r="B57" s="1" t="str">
        <f>"经济数学学院"</f>
        <v>经济数学学院</v>
      </c>
      <c r="C57" s="3" t="str">
        <f>"数学分析I（英文）"</f>
        <v>数学分析I（英文）</v>
      </c>
      <c r="D57" s="3" t="str">
        <f>"通识基础课"</f>
        <v>通识基础课</v>
      </c>
      <c r="E57" s="3" t="str">
        <f>"郭训香"</f>
        <v>郭训香</v>
      </c>
      <c r="F57" s="3" t="str">
        <f>"王珂"</f>
        <v>王珂</v>
      </c>
      <c r="G57" s="3" t="str">
        <f>"1200202Z1004"</f>
        <v>1200202Z1004</v>
      </c>
    </row>
    <row r="58" spans="1:7" ht="21" customHeight="1" x14ac:dyDescent="0.25">
      <c r="A58" s="2">
        <v>56</v>
      </c>
      <c r="B58" s="1" t="str">
        <f>"经济数学学院"</f>
        <v>经济数学学院</v>
      </c>
      <c r="C58" s="3" t="str">
        <f>"数学分析Ⅰ（理科）"</f>
        <v>数学分析Ⅰ（理科）</v>
      </c>
      <c r="D58" s="3" t="str">
        <f>"通识基础课"</f>
        <v>通识基础课</v>
      </c>
      <c r="E58" s="3" t="str">
        <f>"代宏霞"</f>
        <v>代宏霞</v>
      </c>
      <c r="F58" s="3" t="str">
        <f>"范渝蓉"</f>
        <v>范渝蓉</v>
      </c>
      <c r="G58" s="3" t="str">
        <f>"219070100005"</f>
        <v>219070100005</v>
      </c>
    </row>
    <row r="59" spans="1:7" ht="21" customHeight="1" x14ac:dyDescent="0.25">
      <c r="A59" s="2">
        <v>57</v>
      </c>
      <c r="B59" s="1" t="str">
        <f>"经济数学学院"</f>
        <v>经济数学学院</v>
      </c>
      <c r="C59" s="3" t="str">
        <f>"高等代数Ⅰ"</f>
        <v>高等代数Ⅰ</v>
      </c>
      <c r="D59" s="3" t="str">
        <f>"通识基础课"</f>
        <v>通识基础课</v>
      </c>
      <c r="E59" s="3" t="str">
        <f>"吕品"</f>
        <v>吕品</v>
      </c>
      <c r="F59" s="3" t="str">
        <f>"马少春"</f>
        <v>马少春</v>
      </c>
      <c r="G59" s="3" t="str">
        <f>"120020101006"</f>
        <v>120020101006</v>
      </c>
    </row>
    <row r="60" spans="1:7" ht="21" customHeight="1" x14ac:dyDescent="0.25">
      <c r="A60" s="2">
        <v>58</v>
      </c>
      <c r="B60" s="1" t="str">
        <f>"经济数学学院"</f>
        <v>经济数学学院</v>
      </c>
      <c r="C60" s="3" t="str">
        <f>"高等数学Ⅰ"</f>
        <v>高等数学Ⅰ</v>
      </c>
      <c r="D60" s="3" t="str">
        <f>"通识基础课"</f>
        <v>通识基础课</v>
      </c>
      <c r="E60" s="3" t="str">
        <f>"王开弘"</f>
        <v>王开弘</v>
      </c>
      <c r="F60" s="3" t="str">
        <f>"白淳恺"</f>
        <v>白淳恺</v>
      </c>
      <c r="G60" s="3" t="str">
        <f>"2200202Z1008"</f>
        <v>2200202Z1008</v>
      </c>
    </row>
    <row r="61" spans="1:7" ht="21" customHeight="1" x14ac:dyDescent="0.25">
      <c r="A61" s="2">
        <v>59</v>
      </c>
      <c r="B61" s="1" t="str">
        <f>"经济数学学院"</f>
        <v>经济数学学院</v>
      </c>
      <c r="C61" s="3" t="str">
        <f>"机器学习数学基础"</f>
        <v>机器学习数学基础</v>
      </c>
      <c r="D61" s="3" t="str">
        <f>"通识基础课"</f>
        <v>通识基础课</v>
      </c>
      <c r="E61" s="3" t="str">
        <f>"车茂林"</f>
        <v>车茂林</v>
      </c>
      <c r="F61" s="3" t="str">
        <f>"徐晓庆"</f>
        <v>徐晓庆</v>
      </c>
      <c r="G61" s="3" t="str">
        <f>"118120204002"</f>
        <v>118120204002</v>
      </c>
    </row>
    <row r="62" spans="1:7" ht="21" customHeight="1" x14ac:dyDescent="0.25">
      <c r="A62" s="2">
        <v>60</v>
      </c>
      <c r="B62" s="1" t="str">
        <f>"经济数学学院"</f>
        <v>经济数学学院</v>
      </c>
      <c r="C62" s="3" t="str">
        <f>"高等数学Ⅰ"</f>
        <v>高等数学Ⅰ</v>
      </c>
      <c r="D62" s="3" t="str">
        <f>"通识基础课"</f>
        <v>通识基础课</v>
      </c>
      <c r="E62" s="3" t="str">
        <f>"李楠"</f>
        <v>李楠</v>
      </c>
      <c r="F62" s="3" t="str">
        <f>"余易易"</f>
        <v>余易易</v>
      </c>
      <c r="G62" s="3" t="str">
        <f>"220020208023"</f>
        <v>220020208023</v>
      </c>
    </row>
    <row r="63" spans="1:7" ht="21" customHeight="1" x14ac:dyDescent="0.25">
      <c r="A63" s="2">
        <v>61</v>
      </c>
      <c r="B63" s="1" t="str">
        <f>"经济数学学院"</f>
        <v>经济数学学院</v>
      </c>
      <c r="C63" s="3" t="str">
        <f>"概率论（理科）"</f>
        <v>概率论（理科）</v>
      </c>
      <c r="D63" s="3" t="str">
        <f>"通识基础课"</f>
        <v>通识基础课</v>
      </c>
      <c r="E63" s="3" t="str">
        <f>"岳佳"</f>
        <v>岳佳</v>
      </c>
      <c r="F63" s="3" t="str">
        <f>"何九军"</f>
        <v>何九军</v>
      </c>
      <c r="G63" s="3" t="str">
        <f>"220071400011"</f>
        <v>220071400011</v>
      </c>
    </row>
    <row r="64" spans="1:7" ht="21" customHeight="1" x14ac:dyDescent="0.25">
      <c r="A64" s="2">
        <v>62</v>
      </c>
      <c r="B64" s="1" t="str">
        <f>"经济数学学院"</f>
        <v>经济数学学院</v>
      </c>
      <c r="C64" s="3" t="str">
        <f>"机器学习数学基础"</f>
        <v>机器学习数学基础</v>
      </c>
      <c r="D64" s="3" t="str">
        <f>"通识基础课"</f>
        <v>通识基础课</v>
      </c>
      <c r="E64" s="3" t="str">
        <f>"车茂林"</f>
        <v>车茂林</v>
      </c>
      <c r="F64" s="3" t="str">
        <f>"吕扬凡"</f>
        <v>吕扬凡</v>
      </c>
      <c r="G64" s="3" t="str">
        <f>"220070100004"</f>
        <v>220070100004</v>
      </c>
    </row>
    <row r="65" spans="1:7" ht="21" customHeight="1" x14ac:dyDescent="0.25">
      <c r="A65" s="2">
        <v>63</v>
      </c>
      <c r="B65" s="1" t="str">
        <f>"经济数学学院"</f>
        <v>经济数学学院</v>
      </c>
      <c r="C65" s="3" t="str">
        <f>"数学分析Ⅰ（理科）"</f>
        <v>数学分析Ⅰ（理科）</v>
      </c>
      <c r="D65" s="3" t="str">
        <f>"通识基础课"</f>
        <v>通识基础课</v>
      </c>
      <c r="E65" s="3" t="str">
        <f>"陈小平"</f>
        <v>陈小平</v>
      </c>
      <c r="F65" s="3" t="str">
        <f>"乐海波"</f>
        <v>乐海波</v>
      </c>
      <c r="G65" s="3" t="str">
        <f>"119020204017"</f>
        <v>119020204017</v>
      </c>
    </row>
    <row r="66" spans="1:7" ht="21" customHeight="1" x14ac:dyDescent="0.25">
      <c r="A66" s="2">
        <v>64</v>
      </c>
      <c r="B66" s="1" t="str">
        <f>"经济数学学院"</f>
        <v>经济数学学院</v>
      </c>
      <c r="C66" s="3" t="str">
        <f>"机器学习数学基础"</f>
        <v>机器学习数学基础</v>
      </c>
      <c r="D66" s="3" t="str">
        <f>"通识基础课"</f>
        <v>通识基础课</v>
      </c>
      <c r="E66" s="3" t="str">
        <f>"顾先明"</f>
        <v>顾先明</v>
      </c>
      <c r="F66" s="3" t="str">
        <f>"张莉"</f>
        <v>张莉</v>
      </c>
      <c r="G66" s="3" t="str">
        <f>"220070100015"</f>
        <v>220070100015</v>
      </c>
    </row>
    <row r="67" spans="1:7" ht="21" customHeight="1" x14ac:dyDescent="0.25">
      <c r="A67" s="2">
        <v>65</v>
      </c>
      <c r="B67" s="1" t="str">
        <f>"经济数学学院"</f>
        <v>经济数学学院</v>
      </c>
      <c r="C67" s="3" t="str">
        <f>"概率论（理科）"</f>
        <v>概率论（理科）</v>
      </c>
      <c r="D67" s="3" t="str">
        <f>"通识基础课"</f>
        <v>通识基础课</v>
      </c>
      <c r="E67" s="3" t="str">
        <f>"骆川义"</f>
        <v>骆川义</v>
      </c>
      <c r="F67" s="3" t="str">
        <f>"张婷婷"</f>
        <v>张婷婷</v>
      </c>
      <c r="G67" s="3" t="str">
        <f>"1200202Z1002"</f>
        <v>1200202Z1002</v>
      </c>
    </row>
    <row r="68" spans="1:7" ht="21" customHeight="1" x14ac:dyDescent="0.25">
      <c r="A68" s="2">
        <v>66</v>
      </c>
      <c r="B68" s="1" t="str">
        <f>"经济数学学院"</f>
        <v>经济数学学院</v>
      </c>
      <c r="C68" s="3" t="str">
        <f>"概率论（理科）"</f>
        <v>概率论（理科）</v>
      </c>
      <c r="D68" s="3" t="str">
        <f>"通识基础课"</f>
        <v>通识基础课</v>
      </c>
      <c r="E68" s="3" t="str">
        <f>"李绍文"</f>
        <v>李绍文</v>
      </c>
      <c r="F68" s="3" t="str">
        <f>"龚烁"</f>
        <v>龚烁</v>
      </c>
      <c r="G68" s="3" t="str">
        <f>"119120204003"</f>
        <v>119120204003</v>
      </c>
    </row>
    <row r="69" spans="1:7" ht="21" customHeight="1" x14ac:dyDescent="0.25">
      <c r="A69" s="2">
        <v>67</v>
      </c>
      <c r="B69" s="1" t="str">
        <f>"经济数学学院"</f>
        <v>经济数学学院</v>
      </c>
      <c r="C69" s="3" t="str">
        <f>"高等代数Ⅰ"</f>
        <v>高等代数Ⅰ</v>
      </c>
      <c r="D69" s="3" t="str">
        <f>"通识基础课"</f>
        <v>通识基础课</v>
      </c>
      <c r="E69" s="3" t="str">
        <f>"王天明"</f>
        <v>王天明</v>
      </c>
      <c r="F69" s="3" t="str">
        <f>"魏志宏"</f>
        <v>魏志宏</v>
      </c>
      <c r="G69" s="3" t="str">
        <f>"220070100012"</f>
        <v>220070100012</v>
      </c>
    </row>
    <row r="70" spans="1:7" ht="21" customHeight="1" x14ac:dyDescent="0.25">
      <c r="A70" s="2">
        <v>68</v>
      </c>
      <c r="B70" s="1" t="str">
        <f>"经济数学学院"</f>
        <v>经济数学学院</v>
      </c>
      <c r="C70" s="3" t="str">
        <f>"数值分析"</f>
        <v>数值分析</v>
      </c>
      <c r="D70" s="3" t="str">
        <f>"大学科基础课"</f>
        <v>大学科基础课</v>
      </c>
      <c r="E70" s="3" t="str">
        <f>"马敬堂"</f>
        <v>马敬堂</v>
      </c>
      <c r="F70" s="3" t="str">
        <f>"吴皓斐"</f>
        <v>吴皓斐</v>
      </c>
      <c r="G70" s="3" t="str">
        <f>"218070100006"</f>
        <v>218070100006</v>
      </c>
    </row>
    <row r="71" spans="1:7" ht="21" customHeight="1" x14ac:dyDescent="0.25">
      <c r="A71" s="2">
        <v>69</v>
      </c>
      <c r="B71" s="1" t="str">
        <f>"经济数学学院"</f>
        <v>经济数学学院</v>
      </c>
      <c r="C71" s="3" t="str">
        <f>"数值分析"</f>
        <v>数值分析</v>
      </c>
      <c r="D71" s="3" t="str">
        <f>"自由选修课"</f>
        <v>自由选修课</v>
      </c>
      <c r="E71" s="3" t="str">
        <f>"张昕"</f>
        <v>张昕</v>
      </c>
      <c r="F71" s="3" t="str">
        <f>"周宏宇"</f>
        <v>周宏宇</v>
      </c>
      <c r="G71" s="3" t="str">
        <f>"1200202Z2001"</f>
        <v>1200202Z2001</v>
      </c>
    </row>
    <row r="72" spans="1:7" ht="21" customHeight="1" x14ac:dyDescent="0.25">
      <c r="A72" s="2">
        <v>70</v>
      </c>
      <c r="B72" s="1" t="str">
        <f>"经济数学学院"</f>
        <v>经济数学学院</v>
      </c>
      <c r="C72" s="3" t="str">
        <f>"高等代数Ⅰ"</f>
        <v>高等代数Ⅰ</v>
      </c>
      <c r="D72" s="3" t="str">
        <f>"通识基础课"</f>
        <v>通识基础课</v>
      </c>
      <c r="E72" s="3" t="str">
        <f>"赵建容"</f>
        <v>赵建容</v>
      </c>
      <c r="F72" s="3" t="str">
        <f>"陈映彤"</f>
        <v>陈映彤</v>
      </c>
      <c r="G72" s="3" t="str">
        <f>"120020104009"</f>
        <v>120020104009</v>
      </c>
    </row>
    <row r="73" spans="1:7" ht="21" customHeight="1" x14ac:dyDescent="0.25">
      <c r="A73" s="2">
        <v>71</v>
      </c>
      <c r="B73" s="1" t="str">
        <f>"经济数学学院"</f>
        <v>经济数学学院</v>
      </c>
      <c r="C73" s="3" t="str">
        <f>"高等数学Ⅰ"</f>
        <v>高等数学Ⅰ</v>
      </c>
      <c r="D73" s="3" t="str">
        <f>"通识基础课"</f>
        <v>通识基础课</v>
      </c>
      <c r="E73" s="3" t="str">
        <f>"王磊"</f>
        <v>王磊</v>
      </c>
      <c r="F73" s="3" t="str">
        <f>"吴建强"</f>
        <v>吴建强</v>
      </c>
      <c r="G73" s="3" t="str">
        <f>"220070100005"</f>
        <v>220070100005</v>
      </c>
    </row>
    <row r="74" spans="1:7" ht="21" customHeight="1" x14ac:dyDescent="0.25">
      <c r="A74" s="2">
        <v>72</v>
      </c>
      <c r="B74" s="1" t="str">
        <f>"经济数学学院"</f>
        <v>经济数学学院</v>
      </c>
      <c r="C74" s="3" t="str">
        <f>"高等数学Ⅰ"</f>
        <v>高等数学Ⅰ</v>
      </c>
      <c r="D74" s="3" t="str">
        <f>"通识基础课"</f>
        <v>通识基础课</v>
      </c>
      <c r="E74" s="3" t="str">
        <f>"朱文莉"</f>
        <v>朱文莉</v>
      </c>
      <c r="F74" s="3" t="str">
        <f>"任建梅"</f>
        <v>任建梅</v>
      </c>
      <c r="G74" s="3" t="str">
        <f>"220071400006"</f>
        <v>220071400006</v>
      </c>
    </row>
    <row r="75" spans="1:7" ht="21" customHeight="1" x14ac:dyDescent="0.25">
      <c r="A75" s="2">
        <v>73</v>
      </c>
      <c r="B75" s="1" t="str">
        <f>"经济数学学院"</f>
        <v>经济数学学院</v>
      </c>
      <c r="C75" s="3" t="str">
        <f>"高等数学Ⅰ"</f>
        <v>高等数学Ⅰ</v>
      </c>
      <c r="D75" s="3" t="str">
        <f>"通识基础课"</f>
        <v>通识基础课</v>
      </c>
      <c r="E75" s="3" t="str">
        <f>"梁浩"</f>
        <v>梁浩</v>
      </c>
      <c r="F75" s="3" t="str">
        <f>"郝文静"</f>
        <v>郝文静</v>
      </c>
      <c r="G75" s="3" t="str">
        <f>"1190202Z1012"</f>
        <v>1190202Z1012</v>
      </c>
    </row>
    <row r="76" spans="1:7" ht="21" customHeight="1" x14ac:dyDescent="0.25">
      <c r="A76" s="2">
        <v>74</v>
      </c>
      <c r="B76" s="1" t="str">
        <f>"经济数学学院"</f>
        <v>经济数学学院</v>
      </c>
      <c r="C76" s="3" t="str">
        <f>"高等代数Ⅰ"</f>
        <v>高等代数Ⅰ</v>
      </c>
      <c r="D76" s="3" t="str">
        <f>"通识基础课"</f>
        <v>通识基础课</v>
      </c>
      <c r="E76" s="3" t="str">
        <f>"韩本三"</f>
        <v>韩本三</v>
      </c>
      <c r="F76" s="3" t="str">
        <f>"沈菲"</f>
        <v>沈菲</v>
      </c>
      <c r="G76" s="3" t="str">
        <f>"119020204005"</f>
        <v>119020204005</v>
      </c>
    </row>
    <row r="77" spans="1:7" ht="21" customHeight="1" x14ac:dyDescent="0.25">
      <c r="A77" s="2">
        <v>75</v>
      </c>
      <c r="B77" s="1" t="str">
        <f>"经济数学学院"</f>
        <v>经济数学学院</v>
      </c>
      <c r="C77" s="3" t="str">
        <f>"高等数学Ⅰ"</f>
        <v>高等数学Ⅰ</v>
      </c>
      <c r="D77" s="3" t="str">
        <f>"通识基础课"</f>
        <v>通识基础课</v>
      </c>
      <c r="E77" s="3" t="str">
        <f>"祝书强"</f>
        <v>祝书强</v>
      </c>
      <c r="F77" s="3" t="str">
        <f>"洪艺琳"</f>
        <v>洪艺琳</v>
      </c>
      <c r="G77" s="3" t="str">
        <f>"1200202Z1007"</f>
        <v>1200202Z1007</v>
      </c>
    </row>
    <row r="78" spans="1:7" ht="21" customHeight="1" x14ac:dyDescent="0.25">
      <c r="A78" s="2">
        <v>76</v>
      </c>
      <c r="B78" s="1" t="str">
        <f>"经济数学学院"</f>
        <v>经济数学学院</v>
      </c>
      <c r="C78" s="3" t="str">
        <f>"高等数学Ⅰ"</f>
        <v>高等数学Ⅰ</v>
      </c>
      <c r="D78" s="3" t="str">
        <f>"通识基础课"</f>
        <v>通识基础课</v>
      </c>
      <c r="E78" s="3" t="str">
        <f>"张清邦"</f>
        <v>张清邦</v>
      </c>
      <c r="F78" s="3" t="str">
        <f>"梅婕"</f>
        <v>梅婕</v>
      </c>
      <c r="G78" s="3" t="str">
        <f>"219070100006"</f>
        <v>219070100006</v>
      </c>
    </row>
    <row r="79" spans="1:7" ht="21" customHeight="1" x14ac:dyDescent="0.25">
      <c r="A79" s="2">
        <v>77</v>
      </c>
      <c r="B79" s="1" t="str">
        <f>"经济数学学院"</f>
        <v>经济数学学院</v>
      </c>
      <c r="C79" s="3" t="str">
        <f>"高等数学Ⅰ"</f>
        <v>高等数学Ⅰ</v>
      </c>
      <c r="D79" s="3" t="str">
        <f>"自由选修课"</f>
        <v>自由选修课</v>
      </c>
      <c r="E79" s="3" t="str">
        <f>"谢果"</f>
        <v>谢果</v>
      </c>
      <c r="F79" s="3" t="str">
        <f>"任静"</f>
        <v>任静</v>
      </c>
      <c r="G79" s="3" t="str">
        <f>"220070100013"</f>
        <v>220070100013</v>
      </c>
    </row>
    <row r="80" spans="1:7" ht="21" customHeight="1" x14ac:dyDescent="0.25">
      <c r="A80" s="2">
        <v>78</v>
      </c>
      <c r="B80" s="1" t="str">
        <f>"经济数学学院"</f>
        <v>经济数学学院</v>
      </c>
      <c r="C80" s="3" t="str">
        <f>"高等代数Ⅰ"</f>
        <v>高等代数Ⅰ</v>
      </c>
      <c r="D80" s="3" t="str">
        <f>"通识基础课"</f>
        <v>通识基础课</v>
      </c>
      <c r="E80" s="3" t="str">
        <f>"韩本三"</f>
        <v>韩本三</v>
      </c>
      <c r="F80" s="3" t="str">
        <f>"熊倩倩"</f>
        <v>熊倩倩</v>
      </c>
      <c r="G80" s="3" t="str">
        <f>"119020104002"</f>
        <v>119020104002</v>
      </c>
    </row>
    <row r="81" spans="1:7" ht="21" customHeight="1" x14ac:dyDescent="0.25">
      <c r="A81" s="2">
        <v>79</v>
      </c>
      <c r="B81" s="1" t="str">
        <f>"经济数学学院"</f>
        <v>经济数学学院</v>
      </c>
      <c r="C81" s="3" t="str">
        <f>"数学分析Ⅰ（理科）"</f>
        <v>数学分析Ⅰ（理科）</v>
      </c>
      <c r="D81" s="3" t="str">
        <f>"通识基础课"</f>
        <v>通识基础课</v>
      </c>
      <c r="E81" s="3" t="str">
        <f>"邓汝良"</f>
        <v>邓汝良</v>
      </c>
      <c r="F81" s="3" t="str">
        <f>"张涵"</f>
        <v>张涵</v>
      </c>
      <c r="G81" s="3" t="str">
        <f>"2190202Z2013"</f>
        <v>2190202Z2013</v>
      </c>
    </row>
    <row r="82" spans="1:7" ht="21" customHeight="1" x14ac:dyDescent="0.25">
      <c r="A82" s="2">
        <v>80</v>
      </c>
      <c r="B82" s="1" t="str">
        <f>"经济数学学院"</f>
        <v>经济数学学院</v>
      </c>
      <c r="C82" s="3" t="str">
        <f>"高等数学Ⅰ"</f>
        <v>高等数学Ⅰ</v>
      </c>
      <c r="D82" s="3" t="str">
        <f>"通识基础课"</f>
        <v>通识基础课</v>
      </c>
      <c r="E82" s="3" t="str">
        <f>"梁浩"</f>
        <v>梁浩</v>
      </c>
      <c r="F82" s="3" t="str">
        <f>"李怡馨"</f>
        <v>李怡馨</v>
      </c>
      <c r="G82" s="3" t="str">
        <f>"1180202Z1001"</f>
        <v>1180202Z1001</v>
      </c>
    </row>
    <row r="83" spans="1:7" ht="21" customHeight="1" x14ac:dyDescent="0.25">
      <c r="A83" s="2">
        <v>81</v>
      </c>
      <c r="B83" s="1" t="str">
        <f>"经济数学学院"</f>
        <v>经济数学学院</v>
      </c>
      <c r="C83" s="3" t="str">
        <f>"概率论（理科）"</f>
        <v>概率论（理科）</v>
      </c>
      <c r="D83" s="3" t="str">
        <f>"通识基础课"</f>
        <v>通识基础课</v>
      </c>
      <c r="E83" s="3" t="str">
        <f>"黄文毅"</f>
        <v>黄文毅</v>
      </c>
      <c r="F83" s="3" t="str">
        <f>"梁情文"</f>
        <v>梁情文</v>
      </c>
      <c r="G83" s="3" t="str">
        <f>"1191202Z6002"</f>
        <v>1191202Z6002</v>
      </c>
    </row>
    <row r="84" spans="1:7" ht="21" customHeight="1" x14ac:dyDescent="0.25">
      <c r="A84" s="2">
        <v>82</v>
      </c>
      <c r="B84" s="1" t="str">
        <f>"经济数学学院"</f>
        <v>经济数学学院</v>
      </c>
      <c r="C84" s="3" t="str">
        <f>"高等代数Ⅰ"</f>
        <v>高等代数Ⅰ</v>
      </c>
      <c r="D84" s="3" t="str">
        <f>"通识基础课"</f>
        <v>通识基础课</v>
      </c>
      <c r="E84" s="3" t="str">
        <f>"林谦"</f>
        <v>林谦</v>
      </c>
      <c r="F84" s="3" t="str">
        <f>"董甄"</f>
        <v>董甄</v>
      </c>
      <c r="G84" s="3" t="str">
        <f>"220020204130"</f>
        <v>220020204130</v>
      </c>
    </row>
    <row r="85" spans="1:7" ht="21" customHeight="1" x14ac:dyDescent="0.25">
      <c r="A85" s="2">
        <v>83</v>
      </c>
      <c r="B85" s="1" t="str">
        <f>"经济数学学院"</f>
        <v>经济数学学院</v>
      </c>
      <c r="C85" s="3" t="str">
        <f>"高等数学Ⅰ"</f>
        <v>高等数学Ⅰ</v>
      </c>
      <c r="D85" s="3" t="str">
        <f>"通识基础课"</f>
        <v>通识基础课</v>
      </c>
      <c r="E85" s="3" t="str">
        <f>"戴岱"</f>
        <v>戴岱</v>
      </c>
      <c r="F85" s="3" t="str">
        <f>"程文锐"</f>
        <v>程文锐</v>
      </c>
      <c r="G85" s="3" t="str">
        <f>"219071400013"</f>
        <v>219071400013</v>
      </c>
    </row>
    <row r="86" spans="1:7" ht="21" customHeight="1" x14ac:dyDescent="0.25">
      <c r="A86" s="2">
        <v>84</v>
      </c>
      <c r="B86" s="1" t="str">
        <f>"经济数学学院"</f>
        <v>经济数学学院</v>
      </c>
      <c r="C86" s="3" t="str">
        <f>"高等代数Ⅰ"</f>
        <v>高等代数Ⅰ</v>
      </c>
      <c r="D86" s="3" t="str">
        <f>"通识基础课"</f>
        <v>通识基础课</v>
      </c>
      <c r="E86" s="3" t="str">
        <f>"李静"</f>
        <v>李静</v>
      </c>
      <c r="F86" s="3" t="str">
        <f>"黄月"</f>
        <v>黄月</v>
      </c>
      <c r="G86" s="3" t="str">
        <f>"220120100015"</f>
        <v>220120100015</v>
      </c>
    </row>
    <row r="87" spans="1:7" ht="21" customHeight="1" x14ac:dyDescent="0.25">
      <c r="A87" s="2">
        <v>85</v>
      </c>
      <c r="B87" s="1" t="str">
        <f>"经济数学学院"</f>
        <v>经济数学学院</v>
      </c>
      <c r="C87" s="3" t="str">
        <f>"高等数学Ⅰ"</f>
        <v>高等数学Ⅰ</v>
      </c>
      <c r="D87" s="3" t="str">
        <f>"通识基础课"</f>
        <v>通识基础课</v>
      </c>
      <c r="E87" s="3" t="str">
        <f>"王开弘"</f>
        <v>王开弘</v>
      </c>
      <c r="F87" s="3" t="str">
        <f>"范肖虹"</f>
        <v>范肖虹</v>
      </c>
      <c r="G87" s="3" t="str">
        <f>"2200202Z1007"</f>
        <v>2200202Z1007</v>
      </c>
    </row>
    <row r="88" spans="1:7" ht="21" customHeight="1" x14ac:dyDescent="0.25">
      <c r="A88" s="2">
        <v>86</v>
      </c>
      <c r="B88" s="1" t="str">
        <f>"经济数学学院"</f>
        <v>经济数学学院</v>
      </c>
      <c r="C88" s="3" t="str">
        <f>"数学分析Ⅰ（理科）"</f>
        <v>数学分析Ⅰ（理科）</v>
      </c>
      <c r="D88" s="3" t="str">
        <f>"通识基础课"</f>
        <v>通识基础课</v>
      </c>
      <c r="E88" s="3" t="str">
        <f>"陈小平"</f>
        <v>陈小平</v>
      </c>
      <c r="F88" s="3" t="str">
        <f>"陈登胜"</f>
        <v>陈登胜</v>
      </c>
      <c r="G88" s="3" t="str">
        <f>"1180202Z1005"</f>
        <v>1180202Z1005</v>
      </c>
    </row>
    <row r="89" spans="1:7" ht="21" customHeight="1" x14ac:dyDescent="0.25">
      <c r="A89" s="2">
        <v>87</v>
      </c>
      <c r="B89" s="1" t="str">
        <f>"经济数学学院"</f>
        <v>经济数学学院</v>
      </c>
      <c r="C89" s="3" t="str">
        <f>"概率论（理科）"</f>
        <v>概率论（理科）</v>
      </c>
      <c r="D89" s="3" t="str">
        <f>"通识基础课"</f>
        <v>通识基础课</v>
      </c>
      <c r="E89" s="3" t="str">
        <f>"赖绍永"</f>
        <v>赖绍永</v>
      </c>
      <c r="F89" s="3" t="str">
        <f>"易荷玲"</f>
        <v>易荷玲</v>
      </c>
      <c r="G89" s="3" t="str">
        <f>"2180202Z1025"</f>
        <v>2180202Z1025</v>
      </c>
    </row>
    <row r="90" spans="1:7" ht="21" customHeight="1" x14ac:dyDescent="0.25">
      <c r="A90" s="2">
        <v>88</v>
      </c>
      <c r="B90" s="1" t="str">
        <f>"经济数学学院"</f>
        <v>经济数学学院</v>
      </c>
      <c r="C90" s="3" t="str">
        <f>"偏微分方程"</f>
        <v>偏微分方程</v>
      </c>
      <c r="D90" s="3" t="str">
        <f>"专业必修课"</f>
        <v>专业必修课</v>
      </c>
      <c r="E90" s="3" t="str">
        <f>"王永富"</f>
        <v>王永富</v>
      </c>
      <c r="F90" s="3" t="str">
        <f>"胡晓晓"</f>
        <v>胡晓晓</v>
      </c>
      <c r="G90" s="3" t="str">
        <f>"220070100020"</f>
        <v>220070100020</v>
      </c>
    </row>
    <row r="91" spans="1:7" ht="21" customHeight="1" x14ac:dyDescent="0.25">
      <c r="A91" s="2">
        <v>89</v>
      </c>
      <c r="B91" s="1" t="str">
        <f>"经济数学学院"</f>
        <v>经济数学学院</v>
      </c>
      <c r="C91" s="3" t="str">
        <f>"机器学习数学基础"</f>
        <v>机器学习数学基础</v>
      </c>
      <c r="D91" s="3" t="str">
        <f>"通识基础课"</f>
        <v>通识基础课</v>
      </c>
      <c r="E91" s="3" t="str">
        <f>"赵建容"</f>
        <v>赵建容</v>
      </c>
      <c r="F91" s="3" t="str">
        <f>"程天翔"</f>
        <v>程天翔</v>
      </c>
      <c r="G91" s="3" t="str">
        <f>"220070100011"</f>
        <v>220070100011</v>
      </c>
    </row>
    <row r="92" spans="1:7" ht="21" customHeight="1" x14ac:dyDescent="0.25">
      <c r="A92" s="2">
        <v>90</v>
      </c>
      <c r="B92" s="1" t="str">
        <f>"经济数学学院"</f>
        <v>经济数学学院</v>
      </c>
      <c r="C92" s="3" t="str">
        <f>"高等代数Ⅰ"</f>
        <v>高等代数Ⅰ</v>
      </c>
      <c r="D92" s="3" t="str">
        <f>"通识基础课"</f>
        <v>通识基础课</v>
      </c>
      <c r="E92" s="3" t="str">
        <f>"朱胜坤"</f>
        <v>朱胜坤</v>
      </c>
      <c r="F92" s="3" t="str">
        <f>"牟伦宝"</f>
        <v>牟伦宝</v>
      </c>
      <c r="G92" s="3" t="str">
        <f>"220070100008"</f>
        <v>220070100008</v>
      </c>
    </row>
    <row r="93" spans="1:7" ht="21" customHeight="1" x14ac:dyDescent="0.25">
      <c r="A93" s="2">
        <v>91</v>
      </c>
      <c r="B93" s="1" t="str">
        <f>"经济数学学院"</f>
        <v>经济数学学院</v>
      </c>
      <c r="C93" s="3" t="str">
        <f>"高等数学Ⅰ"</f>
        <v>高等数学Ⅰ</v>
      </c>
      <c r="D93" s="3" t="str">
        <f>"通识基础课"</f>
        <v>通识基础课</v>
      </c>
      <c r="E93" s="3" t="str">
        <f>"李楠"</f>
        <v>李楠</v>
      </c>
      <c r="F93" s="3" t="str">
        <f>"韩明远"</f>
        <v>韩明远</v>
      </c>
      <c r="G93" s="3" t="str">
        <f>"120020209001"</f>
        <v>120020209001</v>
      </c>
    </row>
    <row r="94" spans="1:7" ht="21" customHeight="1" x14ac:dyDescent="0.25">
      <c r="A94" s="2">
        <v>92</v>
      </c>
      <c r="B94" s="1" t="str">
        <f>"经济数学学院"</f>
        <v>经济数学学院</v>
      </c>
      <c r="C94" s="3" t="str">
        <f>"高等数学Ⅰ"</f>
        <v>高等数学Ⅰ</v>
      </c>
      <c r="D94" s="3" t="str">
        <f>"通识基础课"</f>
        <v>通识基础课</v>
      </c>
      <c r="E94" s="3" t="str">
        <f>"王磊"</f>
        <v>王磊</v>
      </c>
      <c r="F94" s="3" t="str">
        <f>"吴晓慧"</f>
        <v>吴晓慧</v>
      </c>
      <c r="G94" s="3" t="str">
        <f>"2200202Z1015"</f>
        <v>2200202Z1015</v>
      </c>
    </row>
    <row r="95" spans="1:7" ht="21" customHeight="1" x14ac:dyDescent="0.25">
      <c r="A95" s="2">
        <v>93</v>
      </c>
      <c r="B95" s="1" t="str">
        <f>"经济数学学院"</f>
        <v>经济数学学院</v>
      </c>
      <c r="C95" s="3" t="str">
        <f>"高等代数Ⅰ"</f>
        <v>高等代数Ⅰ</v>
      </c>
      <c r="D95" s="3" t="str">
        <f>"通识基础课"</f>
        <v>通识基础课</v>
      </c>
      <c r="E95" s="3" t="str">
        <f>"高雪梅"</f>
        <v>高雪梅</v>
      </c>
      <c r="F95" s="3" t="str">
        <f>"张健"</f>
        <v>张健</v>
      </c>
      <c r="G95" s="3" t="str">
        <f>"1200201Z2002"</f>
        <v>1200201Z2002</v>
      </c>
    </row>
    <row r="96" spans="1:7" ht="21" customHeight="1" x14ac:dyDescent="0.25">
      <c r="A96" s="2">
        <v>94</v>
      </c>
      <c r="B96" s="1" t="str">
        <f>"经济数学学院"</f>
        <v>经济数学学院</v>
      </c>
      <c r="C96" s="3" t="str">
        <f>"数学分析Ⅰ（理科）"</f>
        <v>数学分析Ⅰ（理科）</v>
      </c>
      <c r="D96" s="3" t="str">
        <f>"通识基础课"</f>
        <v>通识基础课</v>
      </c>
      <c r="E96" s="3" t="str">
        <f>"方敏"</f>
        <v>方敏</v>
      </c>
      <c r="F96" s="3" t="str">
        <f>"戴欣燃"</f>
        <v>戴欣燃</v>
      </c>
      <c r="G96" s="3" t="str">
        <f>"2190202Z1014"</f>
        <v>2190202Z1014</v>
      </c>
    </row>
    <row r="97" spans="1:7" ht="21" customHeight="1" x14ac:dyDescent="0.25">
      <c r="A97" s="2">
        <v>95</v>
      </c>
      <c r="B97" s="1" t="str">
        <f>"经济数学学院"</f>
        <v>经济数学学院</v>
      </c>
      <c r="C97" s="3" t="str">
        <f>"数学分析Ⅰ（理科）"</f>
        <v>数学分析Ⅰ（理科）</v>
      </c>
      <c r="D97" s="3" t="str">
        <f>"通识基础课"</f>
        <v>通识基础课</v>
      </c>
      <c r="E97" s="3" t="str">
        <f>"黎伟"</f>
        <v>黎伟</v>
      </c>
      <c r="F97" s="3" t="str">
        <f>"牟佳琪"</f>
        <v>牟佳琪</v>
      </c>
      <c r="G97" s="3" t="str">
        <f>"120120201004"</f>
        <v>120120201004</v>
      </c>
    </row>
    <row r="98" spans="1:7" ht="21" customHeight="1" x14ac:dyDescent="0.25">
      <c r="A98" s="2">
        <v>96</v>
      </c>
      <c r="B98" s="1" t="str">
        <f>"经济数学学院"</f>
        <v>经济数学学院</v>
      </c>
      <c r="C98" s="3" t="str">
        <f>"高等代数Ⅰ"</f>
        <v>高等代数Ⅰ</v>
      </c>
      <c r="D98" s="3" t="str">
        <f>"通识基础课"</f>
        <v>通识基础课</v>
      </c>
      <c r="E98" s="3" t="str">
        <f>"张昕"</f>
        <v>张昕</v>
      </c>
      <c r="F98" s="3" t="str">
        <f>"雷琴"</f>
        <v>雷琴</v>
      </c>
      <c r="G98" s="3" t="str">
        <f>"220070100017"</f>
        <v>220070100017</v>
      </c>
    </row>
    <row r="99" spans="1:7" ht="21" customHeight="1" x14ac:dyDescent="0.25">
      <c r="A99" s="2">
        <v>97</v>
      </c>
      <c r="B99" s="1" t="str">
        <f>"经济数学学院"</f>
        <v>经济数学学院</v>
      </c>
      <c r="C99" s="3" t="str">
        <f>"高等代数Ⅰ"</f>
        <v>高等代数Ⅰ</v>
      </c>
      <c r="D99" s="3" t="str">
        <f>"通识基础课"</f>
        <v>通识基础课</v>
      </c>
      <c r="E99" s="3" t="str">
        <f>"林可"</f>
        <v>林可</v>
      </c>
      <c r="F99" s="3" t="str">
        <f>"林珍梅"</f>
        <v>林珍梅</v>
      </c>
      <c r="G99" s="3" t="str">
        <f>"2190202Z1005"</f>
        <v>2190202Z1005</v>
      </c>
    </row>
    <row r="100" spans="1:7" ht="21" customHeight="1" x14ac:dyDescent="0.25">
      <c r="A100" s="2">
        <v>98</v>
      </c>
      <c r="B100" s="1" t="str">
        <f>"经济数学学院"</f>
        <v>经济数学学院</v>
      </c>
      <c r="C100" s="3" t="str">
        <f>"金融随机分析"</f>
        <v>金融随机分析</v>
      </c>
      <c r="D100" s="3" t="str">
        <f>"专业必修课"</f>
        <v>专业必修课</v>
      </c>
      <c r="E100" s="3" t="str">
        <f>"梁浩"</f>
        <v>梁浩</v>
      </c>
      <c r="F100" s="3" t="str">
        <f>"鹿正阳"</f>
        <v>鹿正阳</v>
      </c>
      <c r="G100" s="3" t="str">
        <f>"1200202Z1001"</f>
        <v>1200202Z1001</v>
      </c>
    </row>
    <row r="101" spans="1:7" ht="21" customHeight="1" x14ac:dyDescent="0.25">
      <c r="A101" s="2">
        <v>99</v>
      </c>
      <c r="B101" s="1" t="str">
        <f>"经济数学学院"</f>
        <v>经济数学学院</v>
      </c>
      <c r="C101" s="3" t="str">
        <f>"数学分析Ⅰ（理科）"</f>
        <v>数学分析Ⅰ（理科）</v>
      </c>
      <c r="D101" s="3" t="str">
        <f>"通识基础课"</f>
        <v>通识基础课</v>
      </c>
      <c r="E101" s="3" t="str">
        <f>"尹正"</f>
        <v>尹正</v>
      </c>
      <c r="F101" s="3" t="str">
        <f>"何凯"</f>
        <v>何凯</v>
      </c>
      <c r="G101" s="3" t="str">
        <f>"119120100002"</f>
        <v>119120100002</v>
      </c>
    </row>
    <row r="102" spans="1:7" ht="21" customHeight="1" x14ac:dyDescent="0.25">
      <c r="A102" s="2">
        <v>100</v>
      </c>
      <c r="B102" s="1" t="str">
        <f>"经济数学学院"</f>
        <v>经济数学学院</v>
      </c>
      <c r="C102" s="3" t="str">
        <f>"数学分析I（英文）"</f>
        <v>数学分析I（英文）</v>
      </c>
      <c r="D102" s="3" t="str">
        <f>"通识基础课"</f>
        <v>通识基础课</v>
      </c>
      <c r="E102" s="3" t="str">
        <f>"郭训香"</f>
        <v>郭训香</v>
      </c>
      <c r="F102" s="3" t="str">
        <f>"李耀"</f>
        <v>李耀</v>
      </c>
      <c r="G102" s="3" t="str">
        <f>"220070100006"</f>
        <v>220070100006</v>
      </c>
    </row>
    <row r="103" spans="1:7" ht="21" customHeight="1" x14ac:dyDescent="0.25">
      <c r="A103" s="2">
        <v>101</v>
      </c>
      <c r="B103" s="1" t="str">
        <f>"经济数学学院"</f>
        <v>经济数学学院</v>
      </c>
      <c r="C103" s="3" t="str">
        <f>"随机过程"</f>
        <v>随机过程</v>
      </c>
      <c r="D103" s="3" t="str">
        <f>"大学科基础课"</f>
        <v>大学科基础课</v>
      </c>
      <c r="E103" s="3" t="str">
        <f>"骆川义"</f>
        <v>骆川义</v>
      </c>
      <c r="F103" s="3" t="str">
        <f>"李岳林"</f>
        <v>李岳林</v>
      </c>
      <c r="G103" s="3" t="str">
        <f>"220020208003"</f>
        <v>220020208003</v>
      </c>
    </row>
    <row r="104" spans="1:7" ht="21" customHeight="1" x14ac:dyDescent="0.25">
      <c r="A104" s="2">
        <v>102</v>
      </c>
      <c r="B104" s="1" t="str">
        <f>"经济数学学院"</f>
        <v>经济数学学院</v>
      </c>
      <c r="C104" s="3" t="str">
        <f>"概率论（理科）"</f>
        <v>概率论（理科）</v>
      </c>
      <c r="D104" s="3" t="str">
        <f>"通识基础课"</f>
        <v>通识基础课</v>
      </c>
      <c r="E104" s="3" t="str">
        <f>"吴萌"</f>
        <v>吴萌</v>
      </c>
      <c r="F104" s="3" t="str">
        <f>"王新宇"</f>
        <v>王新宇</v>
      </c>
      <c r="G104" s="3" t="str">
        <f>"120120202003"</f>
        <v>120120202003</v>
      </c>
    </row>
    <row r="105" spans="1:7" ht="21" customHeight="1" x14ac:dyDescent="0.25">
      <c r="A105" s="2">
        <v>103</v>
      </c>
      <c r="B105" s="1" t="str">
        <f>"经济数学学院"</f>
        <v>经济数学学院</v>
      </c>
      <c r="C105" s="3" t="str">
        <f>"概率论（理科）"</f>
        <v>概率论（理科）</v>
      </c>
      <c r="D105" s="3" t="str">
        <f>"通识基础课"</f>
        <v>通识基础课</v>
      </c>
      <c r="E105" s="3" t="str">
        <f>"吴小丹"</f>
        <v>吴小丹</v>
      </c>
      <c r="F105" s="3" t="str">
        <f>"王璐"</f>
        <v>王璐</v>
      </c>
      <c r="G105" s="3" t="str">
        <f>"119020201001"</f>
        <v>119020201001</v>
      </c>
    </row>
    <row r="106" spans="1:7" ht="21" customHeight="1" x14ac:dyDescent="0.25">
      <c r="A106" s="2">
        <v>104</v>
      </c>
      <c r="B106" s="1" t="str">
        <f>"经济数学学院"</f>
        <v>经济数学学院</v>
      </c>
      <c r="C106" s="3" t="str">
        <f>"数学分析Ⅲ（理科）"</f>
        <v>数学分析Ⅲ（理科）</v>
      </c>
      <c r="D106" s="3" t="str">
        <f>"大学科基础课"</f>
        <v>大学科基础课</v>
      </c>
      <c r="E106" s="3" t="str">
        <f>"陈小平"</f>
        <v>陈小平</v>
      </c>
      <c r="F106" s="3" t="str">
        <f>"张冬雪"</f>
        <v>张冬雪</v>
      </c>
      <c r="G106" s="3" t="str">
        <f>"219071400014"</f>
        <v>219071400014</v>
      </c>
    </row>
    <row r="107" spans="1:7" ht="21" customHeight="1" x14ac:dyDescent="0.25">
      <c r="A107" s="2">
        <v>105</v>
      </c>
      <c r="B107" s="1" t="str">
        <f>"经济数学学院"</f>
        <v>经济数学学院</v>
      </c>
      <c r="C107" s="3" t="str">
        <f>"概率论（理科）"</f>
        <v>概率论（理科）</v>
      </c>
      <c r="D107" s="3" t="str">
        <f>"通识基础课"</f>
        <v>通识基础课</v>
      </c>
      <c r="E107" s="3" t="str">
        <f>"徐凤"</f>
        <v>徐凤</v>
      </c>
      <c r="F107" s="3" t="str">
        <f>"郑海山"</f>
        <v>郑海山</v>
      </c>
      <c r="G107" s="3" t="str">
        <f>"220020204072"</f>
        <v>220020204072</v>
      </c>
    </row>
    <row r="108" spans="1:7" ht="21" customHeight="1" x14ac:dyDescent="0.25">
      <c r="A108" s="2">
        <v>106</v>
      </c>
      <c r="B108" s="1" t="str">
        <f>"经济数学学院"</f>
        <v>经济数学学院</v>
      </c>
      <c r="C108" s="3" t="str">
        <f>"运筹学"</f>
        <v>运筹学</v>
      </c>
      <c r="D108" s="3" t="str">
        <f>"专业方向课"</f>
        <v>专业方向课</v>
      </c>
      <c r="E108" s="3" t="str">
        <f>"张文燕"</f>
        <v>张文燕</v>
      </c>
      <c r="F108" s="3" t="str">
        <f>"王河欢"</f>
        <v>王河欢</v>
      </c>
      <c r="G108" s="3" t="str">
        <f>"120020202001"</f>
        <v>120020202001</v>
      </c>
    </row>
    <row r="109" spans="1:7" ht="21" customHeight="1" x14ac:dyDescent="0.25">
      <c r="A109" s="2">
        <v>107</v>
      </c>
      <c r="B109" s="1" t="str">
        <f>"经济数学学院"</f>
        <v>经济数学学院</v>
      </c>
      <c r="C109" s="3" t="str">
        <f>"高等数学Ⅰ"</f>
        <v>高等数学Ⅰ</v>
      </c>
      <c r="D109" s="3" t="str">
        <f>"通识基础课"</f>
        <v>通识基础课</v>
      </c>
      <c r="E109" s="3" t="str">
        <f>"刘彩平"</f>
        <v>刘彩平</v>
      </c>
      <c r="F109" s="3" t="str">
        <f>"丁一玲"</f>
        <v>丁一玲</v>
      </c>
      <c r="G109" s="3" t="str">
        <f>"219020202011"</f>
        <v>219020202011</v>
      </c>
    </row>
    <row r="110" spans="1:7" ht="21" customHeight="1" x14ac:dyDescent="0.25">
      <c r="A110" s="2">
        <v>108</v>
      </c>
      <c r="B110" s="1" t="str">
        <f>"经济数学学院"</f>
        <v>经济数学学院</v>
      </c>
      <c r="C110" s="3" t="str">
        <f>"高等代数Ⅰ"</f>
        <v>高等代数Ⅰ</v>
      </c>
      <c r="D110" s="3" t="str">
        <f>"通识基础课"</f>
        <v>通识基础课</v>
      </c>
      <c r="E110" s="3" t="str">
        <f>"樊胜"</f>
        <v>樊胜</v>
      </c>
      <c r="F110" s="3" t="str">
        <f>"蔡雨昕"</f>
        <v>蔡雨昕</v>
      </c>
      <c r="G110" s="3" t="str">
        <f>"220071400016"</f>
        <v>220071400016</v>
      </c>
    </row>
    <row r="111" spans="1:7" ht="21" customHeight="1" x14ac:dyDescent="0.25">
      <c r="A111" s="2">
        <v>109</v>
      </c>
      <c r="B111" s="1" t="str">
        <f>"经济数学学院"</f>
        <v>经济数学学院</v>
      </c>
      <c r="C111" s="3" t="str">
        <f>"数学分析Ⅰ（理科）"</f>
        <v>数学分析Ⅰ（理科）</v>
      </c>
      <c r="D111" s="3" t="str">
        <f>"通识基础课"</f>
        <v>通识基础课</v>
      </c>
      <c r="E111" s="3" t="str">
        <f>"张具明"</f>
        <v>张具明</v>
      </c>
      <c r="F111" s="3" t="str">
        <f>"李星皓"</f>
        <v>李星皓</v>
      </c>
      <c r="G111" s="3" t="str">
        <f>"1190201Z2002"</f>
        <v>1190201Z2002</v>
      </c>
    </row>
    <row r="112" spans="1:7" ht="21" customHeight="1" x14ac:dyDescent="0.25">
      <c r="A112" s="2">
        <v>110</v>
      </c>
      <c r="B112" s="1" t="str">
        <f>"经济数学学院"</f>
        <v>经济数学学院</v>
      </c>
      <c r="C112" s="3" t="str">
        <f>"数学分析Ⅰ（理科）"</f>
        <v>数学分析Ⅰ（理科）</v>
      </c>
      <c r="D112" s="3" t="str">
        <f>"通识基础课"</f>
        <v>通识基础课</v>
      </c>
      <c r="E112" s="3" t="str">
        <f>"张具明"</f>
        <v>张具明</v>
      </c>
      <c r="F112" s="3" t="str">
        <f>"吴秀琴"</f>
        <v>吴秀琴</v>
      </c>
      <c r="G112" s="3" t="str">
        <f>"1180201Z2001"</f>
        <v>1180201Z2001</v>
      </c>
    </row>
    <row r="113" spans="1:7" ht="21" customHeight="1" x14ac:dyDescent="0.25">
      <c r="A113" s="2">
        <v>111</v>
      </c>
      <c r="B113" s="1" t="str">
        <f>"经济数学学院"</f>
        <v>经济数学学院</v>
      </c>
      <c r="C113" s="3" t="str">
        <f>"高等代数Ⅰ"</f>
        <v>高等代数Ⅰ</v>
      </c>
      <c r="D113" s="3" t="str">
        <f>"通识基础课"</f>
        <v>通识基础课</v>
      </c>
      <c r="E113" s="3" t="str">
        <f>"于翔"</f>
        <v>于翔</v>
      </c>
      <c r="F113" s="3" t="str">
        <f>"邹胤"</f>
        <v>邹胤</v>
      </c>
      <c r="G113" s="3" t="str">
        <f>"2200202Z2007"</f>
        <v>2200202Z2007</v>
      </c>
    </row>
    <row r="114" spans="1:7" ht="21" customHeight="1" x14ac:dyDescent="0.25">
      <c r="A114" s="2">
        <v>112</v>
      </c>
      <c r="B114" s="1" t="str">
        <f>"经济数学学院"</f>
        <v>经济数学学院</v>
      </c>
      <c r="C114" s="3" t="str">
        <f>"高等代数Ⅰ"</f>
        <v>高等代数Ⅰ</v>
      </c>
      <c r="D114" s="3" t="str">
        <f>"通识基础课"</f>
        <v>通识基础课</v>
      </c>
      <c r="E114" s="3" t="str">
        <f>"樊胜"</f>
        <v>樊胜</v>
      </c>
      <c r="F114" s="3" t="str">
        <f>"熊智临"</f>
        <v>熊智临</v>
      </c>
      <c r="G114" s="3" t="str">
        <f>"219020208024"</f>
        <v>219020208024</v>
      </c>
    </row>
    <row r="115" spans="1:7" ht="21" customHeight="1" x14ac:dyDescent="0.25">
      <c r="A115" s="2">
        <v>113</v>
      </c>
      <c r="B115" s="1" t="str">
        <f>"经济数学学院"</f>
        <v>经济数学学院</v>
      </c>
      <c r="C115" s="3" t="str">
        <f>"高等代数Ⅰ"</f>
        <v>高等代数Ⅰ</v>
      </c>
      <c r="D115" s="3" t="str">
        <f>"通识基础课"</f>
        <v>通识基础课</v>
      </c>
      <c r="E115" s="3" t="str">
        <f>"吕品"</f>
        <v>吕品</v>
      </c>
      <c r="F115" s="3" t="str">
        <f>"万泊伦"</f>
        <v>万泊伦</v>
      </c>
      <c r="G115" s="3" t="str">
        <f>"1190202Z1005"</f>
        <v>1190202Z1005</v>
      </c>
    </row>
    <row r="116" spans="1:7" ht="21" customHeight="1" x14ac:dyDescent="0.25">
      <c r="A116" s="2">
        <v>114</v>
      </c>
      <c r="B116" s="1" t="str">
        <f>"经济数学学院"</f>
        <v>经济数学学院</v>
      </c>
      <c r="C116" s="3" t="str">
        <f>"高等代数Ⅰ"</f>
        <v>高等代数Ⅰ</v>
      </c>
      <c r="D116" s="3" t="str">
        <f>"通识基础课"</f>
        <v>通识基础课</v>
      </c>
      <c r="E116" s="3" t="str">
        <f>"吴曦"</f>
        <v>吴曦</v>
      </c>
      <c r="F116" s="3" t="str">
        <f>"雍谦"</f>
        <v>雍谦</v>
      </c>
      <c r="G116" s="3" t="str">
        <f>"219070100011"</f>
        <v>219070100011</v>
      </c>
    </row>
    <row r="117" spans="1:7" ht="21" customHeight="1" x14ac:dyDescent="0.25">
      <c r="A117" s="2">
        <v>115</v>
      </c>
      <c r="B117" s="1" t="str">
        <f>"经济数学学院"</f>
        <v>经济数学学院</v>
      </c>
      <c r="C117" s="3" t="str">
        <f>"高等代数Ⅰ"</f>
        <v>高等代数Ⅰ</v>
      </c>
      <c r="D117" s="3" t="str">
        <f>"通识基础课"</f>
        <v>通识基础课</v>
      </c>
      <c r="E117" s="3" t="str">
        <f>"孙云龙"</f>
        <v>孙云龙</v>
      </c>
      <c r="F117" s="3" t="str">
        <f>"史文慧"</f>
        <v>史文慧</v>
      </c>
      <c r="G117" s="3" t="str">
        <f>"220020209016"</f>
        <v>220020209016</v>
      </c>
    </row>
    <row r="118" spans="1:7" ht="21" customHeight="1" x14ac:dyDescent="0.25">
      <c r="A118" s="2">
        <v>116</v>
      </c>
      <c r="B118" s="1" t="str">
        <f>"经济数学学院"</f>
        <v>经济数学学院</v>
      </c>
      <c r="C118" s="3" t="str">
        <f>"机器学习数学基础"</f>
        <v>机器学习数学基础</v>
      </c>
      <c r="D118" s="3" t="str">
        <f>"通识基础课"</f>
        <v>通识基础课</v>
      </c>
      <c r="E118" s="3" t="str">
        <f>"顾先明"</f>
        <v>顾先明</v>
      </c>
      <c r="F118" s="3" t="str">
        <f>"周金凤"</f>
        <v>周金凤</v>
      </c>
      <c r="G118" s="3" t="str">
        <f>"220070100021"</f>
        <v>220070100021</v>
      </c>
    </row>
    <row r="119" spans="1:7" ht="21" customHeight="1" x14ac:dyDescent="0.25">
      <c r="A119" s="2">
        <v>117</v>
      </c>
      <c r="B119" s="1" t="str">
        <f>"经济数学学院"</f>
        <v>经济数学学院</v>
      </c>
      <c r="C119" s="3" t="str">
        <f>"概率论（理科）"</f>
        <v>概率论（理科）</v>
      </c>
      <c r="D119" s="3" t="str">
        <f>"通识基础课"</f>
        <v>通识基础课</v>
      </c>
      <c r="E119" s="3" t="str">
        <f>"骆川义"</f>
        <v>骆川义</v>
      </c>
      <c r="F119" s="3" t="str">
        <f>"周国勇"</f>
        <v>周国勇</v>
      </c>
      <c r="G119" s="3" t="str">
        <f>"1200202Z1006"</f>
        <v>1200202Z1006</v>
      </c>
    </row>
    <row r="120" spans="1:7" ht="21" customHeight="1" x14ac:dyDescent="0.25">
      <c r="A120" s="2">
        <v>118</v>
      </c>
      <c r="B120" s="1" t="str">
        <f>"经济数学学院"</f>
        <v>经济数学学院</v>
      </c>
      <c r="C120" s="3" t="str">
        <f>"高等代数Ⅰ"</f>
        <v>高等代数Ⅰ</v>
      </c>
      <c r="D120" s="3" t="str">
        <f>"通识基础课"</f>
        <v>通识基础课</v>
      </c>
      <c r="E120" s="3" t="str">
        <f>"于翔"</f>
        <v>于翔</v>
      </c>
      <c r="F120" s="3" t="str">
        <f>"胡旻"</f>
        <v>胡旻</v>
      </c>
      <c r="G120" s="3" t="str">
        <f>"118020204058"</f>
        <v>118020204058</v>
      </c>
    </row>
    <row r="121" spans="1:7" ht="21" customHeight="1" x14ac:dyDescent="0.25">
      <c r="A121" s="2">
        <v>119</v>
      </c>
      <c r="B121" s="1" t="str">
        <f>"经济数学学院"</f>
        <v>经济数学学院</v>
      </c>
      <c r="C121" s="3" t="str">
        <f>"高等代数Ⅰ"</f>
        <v>高等代数Ⅰ</v>
      </c>
      <c r="D121" s="3" t="str">
        <f>"通识基础课"</f>
        <v>通识基础课</v>
      </c>
      <c r="E121" s="3" t="str">
        <f>"林谦"</f>
        <v>林谦</v>
      </c>
      <c r="F121" s="3" t="str">
        <f>"余毅翔"</f>
        <v>余毅翔</v>
      </c>
      <c r="G121" s="3" t="str">
        <f>"120020104010"</f>
        <v>120020104010</v>
      </c>
    </row>
    <row r="122" spans="1:7" ht="21" customHeight="1" x14ac:dyDescent="0.25">
      <c r="A122" s="2">
        <v>120</v>
      </c>
      <c r="B122" s="1" t="str">
        <f>"经济数学学院"</f>
        <v>经济数学学院</v>
      </c>
      <c r="C122" s="3" t="str">
        <f>"数学分析Ⅰ（理科）"</f>
        <v>数学分析Ⅰ（理科）</v>
      </c>
      <c r="D122" s="3" t="str">
        <f>"通识基础课"</f>
        <v>通识基础课</v>
      </c>
      <c r="E122" s="3" t="str">
        <f>"尹正"</f>
        <v>尹正</v>
      </c>
      <c r="F122" s="3" t="str">
        <f>"王子衿"</f>
        <v>王子衿</v>
      </c>
      <c r="G122" s="3" t="str">
        <f>"1190202Z1006"</f>
        <v>1190202Z1006</v>
      </c>
    </row>
    <row r="123" spans="1:7" ht="21" customHeight="1" x14ac:dyDescent="0.25">
      <c r="A123" s="2">
        <v>121</v>
      </c>
      <c r="B123" s="1" t="str">
        <f>"经济数学学院"</f>
        <v>经济数学学院</v>
      </c>
      <c r="C123" s="3" t="str">
        <f>"高等代数Ⅰ"</f>
        <v>高等代数Ⅰ</v>
      </c>
      <c r="D123" s="3" t="str">
        <f>"通识基础课"</f>
        <v>通识基础课</v>
      </c>
      <c r="E123" s="3" t="str">
        <f>"吴曦"</f>
        <v>吴曦</v>
      </c>
      <c r="F123" s="3" t="str">
        <f>"侯方玫"</f>
        <v>侯方玫</v>
      </c>
      <c r="G123" s="3" t="str">
        <f>"119071400001"</f>
        <v>119071400001</v>
      </c>
    </row>
    <row r="124" spans="1:7" ht="21" customHeight="1" x14ac:dyDescent="0.25">
      <c r="A124" s="2">
        <v>122</v>
      </c>
      <c r="B124" s="1" t="str">
        <f>"经济数学学院"</f>
        <v>经济数学学院</v>
      </c>
      <c r="C124" s="3" t="str">
        <f>"概率论（理科）"</f>
        <v>概率论（理科）</v>
      </c>
      <c r="D124" s="3" t="str">
        <f>"通识基础课"</f>
        <v>通识基础课</v>
      </c>
      <c r="E124" s="3" t="str">
        <f>"吴萌"</f>
        <v>吴萌</v>
      </c>
      <c r="F124" s="3" t="str">
        <f>"郭琪琪"</f>
        <v>郭琪琪</v>
      </c>
      <c r="G124" s="3" t="str">
        <f>"2200202Z1014"</f>
        <v>2200202Z1014</v>
      </c>
    </row>
    <row r="125" spans="1:7" ht="21" customHeight="1" x14ac:dyDescent="0.25">
      <c r="A125" s="2">
        <v>123</v>
      </c>
      <c r="B125" s="1" t="str">
        <f>"经济数学学院"</f>
        <v>经济数学学院</v>
      </c>
      <c r="C125" s="3" t="str">
        <f>"高等代数Ⅰ"</f>
        <v>高等代数Ⅰ</v>
      </c>
      <c r="D125" s="3" t="str">
        <f>"通识基础课"</f>
        <v>通识基础课</v>
      </c>
      <c r="E125" s="3" t="str">
        <f>"赵建容"</f>
        <v>赵建容</v>
      </c>
      <c r="F125" s="3" t="str">
        <f>"杨鸿宇"</f>
        <v>杨鸿宇</v>
      </c>
      <c r="G125" s="3" t="str">
        <f>"1190202Z1003"</f>
        <v>1190202Z1003</v>
      </c>
    </row>
    <row r="126" spans="1:7" ht="21" customHeight="1" x14ac:dyDescent="0.25">
      <c r="A126" s="2">
        <v>124</v>
      </c>
      <c r="B126" s="1" t="str">
        <f>"经济数学学院"</f>
        <v>经济数学学院</v>
      </c>
      <c r="C126" s="3" t="str">
        <f>"概率论（理科）"</f>
        <v>概率论（理科）</v>
      </c>
      <c r="D126" s="3" t="str">
        <f>"通识基础课"</f>
        <v>通识基础课</v>
      </c>
      <c r="E126" s="3" t="str">
        <f>"吴小丹"</f>
        <v>吴小丹</v>
      </c>
      <c r="F126" s="3" t="str">
        <f>"宁旭"</f>
        <v>宁旭</v>
      </c>
      <c r="G126" s="3" t="str">
        <f>"220071400013"</f>
        <v>220071400013</v>
      </c>
    </row>
    <row r="127" spans="1:7" ht="21" customHeight="1" x14ac:dyDescent="0.25">
      <c r="A127" s="2">
        <v>125</v>
      </c>
      <c r="B127" s="1" t="str">
        <f>"经济数学学院"</f>
        <v>经济数学学院</v>
      </c>
      <c r="C127" s="3" t="str">
        <f>"概率论（理科）"</f>
        <v>概率论（理科）</v>
      </c>
      <c r="D127" s="3" t="str">
        <f>"通识基础课"</f>
        <v>通识基础课</v>
      </c>
      <c r="E127" s="3" t="str">
        <f>"黄文毅"</f>
        <v>黄文毅</v>
      </c>
      <c r="F127" s="3" t="str">
        <f>"闫芮"</f>
        <v>闫芮</v>
      </c>
      <c r="G127" s="3" t="str">
        <f>"220071400007"</f>
        <v>220071400007</v>
      </c>
    </row>
    <row r="128" spans="1:7" ht="21" customHeight="1" x14ac:dyDescent="0.25">
      <c r="A128" s="2">
        <v>126</v>
      </c>
      <c r="B128" s="1" t="str">
        <f>"经济数学学院"</f>
        <v>经济数学学院</v>
      </c>
      <c r="C128" s="3" t="str">
        <f>"概率论（理科）"</f>
        <v>概率论（理科）</v>
      </c>
      <c r="D128" s="3" t="str">
        <f>"通识基础课"</f>
        <v>通识基础课</v>
      </c>
      <c r="E128" s="3" t="str">
        <f>"杨扬"</f>
        <v>杨扬</v>
      </c>
      <c r="F128" s="3" t="str">
        <f>"张恬"</f>
        <v>张恬</v>
      </c>
      <c r="G128" s="3" t="str">
        <f>"219095137030"</f>
        <v>219095137030</v>
      </c>
    </row>
    <row r="129" spans="1:7" ht="21" customHeight="1" x14ac:dyDescent="0.25">
      <c r="A129" s="2">
        <v>127</v>
      </c>
      <c r="B129" s="1" t="str">
        <f>"经济数学学院"</f>
        <v>经济数学学院</v>
      </c>
      <c r="C129" s="3" t="str">
        <f>"高等代数Ⅰ"</f>
        <v>高等代数Ⅰ</v>
      </c>
      <c r="D129" s="3" t="str">
        <f>"通识基础课"</f>
        <v>通识基础课</v>
      </c>
      <c r="E129" s="3" t="str">
        <f>"张昕"</f>
        <v>张昕</v>
      </c>
      <c r="F129" s="3" t="str">
        <f>"童静"</f>
        <v>童静</v>
      </c>
      <c r="G129" s="3" t="str">
        <f>"220070100019"</f>
        <v>220070100019</v>
      </c>
    </row>
    <row r="130" spans="1:7" ht="21" customHeight="1" x14ac:dyDescent="0.25">
      <c r="A130" s="2">
        <v>128</v>
      </c>
      <c r="B130" s="1" t="str">
        <f>"经济数学学院"</f>
        <v>经济数学学院</v>
      </c>
      <c r="C130" s="3" t="str">
        <f>"金融随机分析"</f>
        <v>金融随机分析</v>
      </c>
      <c r="D130" s="3" t="str">
        <f>"专业必修课"</f>
        <v>专业必修课</v>
      </c>
      <c r="E130" s="3" t="str">
        <f>"梁浩"</f>
        <v>梁浩</v>
      </c>
      <c r="F130" s="3" t="str">
        <f>"张倩"</f>
        <v>张倩</v>
      </c>
      <c r="G130" s="3" t="str">
        <f>"1200202Z1008"</f>
        <v>1200202Z1008</v>
      </c>
    </row>
    <row r="131" spans="1:7" ht="21" customHeight="1" x14ac:dyDescent="0.25">
      <c r="A131" s="2">
        <v>129</v>
      </c>
      <c r="B131" s="1" t="str">
        <f>"经济数学学院"</f>
        <v>经济数学学院</v>
      </c>
      <c r="C131" s="3" t="str">
        <f>"空间解析几何"</f>
        <v>空间解析几何</v>
      </c>
      <c r="D131" s="3" t="str">
        <f>"专业方向课"</f>
        <v>专业方向课</v>
      </c>
      <c r="E131" s="3" t="str">
        <f>"李凤英"</f>
        <v>李凤英</v>
      </c>
      <c r="F131" s="3" t="str">
        <f>"杜谦"</f>
        <v>杜谦</v>
      </c>
      <c r="G131" s="3" t="str">
        <f>"1201201Z5003"</f>
        <v>1201201Z5003</v>
      </c>
    </row>
    <row r="132" spans="1:7" ht="21" customHeight="1" x14ac:dyDescent="0.25">
      <c r="A132" s="2">
        <v>130</v>
      </c>
      <c r="B132" s="1" t="str">
        <f>"经济数学学院"</f>
        <v>经济数学学院</v>
      </c>
      <c r="C132" s="3" t="str">
        <f>"高等数学Ⅰ"</f>
        <v>高等数学Ⅰ</v>
      </c>
      <c r="D132" s="3" t="str">
        <f>"通识基础课"</f>
        <v>通识基础课</v>
      </c>
      <c r="E132" s="3" t="str">
        <f>"吴静"</f>
        <v>吴静</v>
      </c>
      <c r="F132" s="3" t="str">
        <f>"杨杨"</f>
        <v>杨杨</v>
      </c>
      <c r="G132" s="3" t="str">
        <f>"1190201Z2001"</f>
        <v>1190201Z2001</v>
      </c>
    </row>
    <row r="133" spans="1:7" ht="21" customHeight="1" x14ac:dyDescent="0.25">
      <c r="A133" s="2">
        <v>131</v>
      </c>
      <c r="B133" s="1" t="str">
        <f>"经济数学学院"</f>
        <v>经济数学学院</v>
      </c>
      <c r="C133" s="3" t="str">
        <f>"常微分方程"</f>
        <v>常微分方程</v>
      </c>
      <c r="D133" s="3" t="str">
        <f>"专业必修课"</f>
        <v>专业必修课</v>
      </c>
      <c r="E133" s="3" t="str">
        <f>"冯保伟"</f>
        <v>冯保伟</v>
      </c>
      <c r="F133" s="3" t="str">
        <f>"陈春花"</f>
        <v>陈春花</v>
      </c>
      <c r="G133" s="3" t="str">
        <f>"220070100009"</f>
        <v>220070100009</v>
      </c>
    </row>
    <row r="134" spans="1:7" ht="21" customHeight="1" x14ac:dyDescent="0.25">
      <c r="A134" s="2">
        <v>132</v>
      </c>
      <c r="B134" s="1" t="str">
        <f>"经济数学学院"</f>
        <v>经济数学学院</v>
      </c>
      <c r="C134" s="3" t="str">
        <f>"高等代数Ⅰ"</f>
        <v>高等代数Ⅰ</v>
      </c>
      <c r="D134" s="3" t="str">
        <f>"通识基础课"</f>
        <v>通识基础课</v>
      </c>
      <c r="E134" s="3" t="str">
        <f>"李静"</f>
        <v>李静</v>
      </c>
      <c r="F134" s="3" t="str">
        <f>"郑伟"</f>
        <v>郑伟</v>
      </c>
      <c r="G134" s="3" t="str">
        <f>"219070100002"</f>
        <v>219070100002</v>
      </c>
    </row>
    <row r="135" spans="1:7" ht="21" customHeight="1" x14ac:dyDescent="0.25">
      <c r="A135" s="2">
        <v>133</v>
      </c>
      <c r="B135" s="1" t="str">
        <f>"经济数学学院"</f>
        <v>经济数学学院</v>
      </c>
      <c r="C135" s="3" t="str">
        <f>"数学分析Ⅲ（理科）"</f>
        <v>数学分析Ⅲ（理科）</v>
      </c>
      <c r="D135" s="3" t="str">
        <f>"通识基础课"</f>
        <v>通识基础课</v>
      </c>
      <c r="E135" s="3" t="str">
        <f>"尹正"</f>
        <v>尹正</v>
      </c>
      <c r="F135" s="3" t="str">
        <f>"付思华"</f>
        <v>付思华</v>
      </c>
      <c r="G135" s="3" t="str">
        <f>"2190202Z2009"</f>
        <v>2190202Z2009</v>
      </c>
    </row>
    <row r="136" spans="1:7" ht="21" customHeight="1" x14ac:dyDescent="0.25">
      <c r="A136" s="2">
        <v>134</v>
      </c>
      <c r="B136" s="1" t="str">
        <f>"经济数学学院"</f>
        <v>经济数学学院</v>
      </c>
      <c r="C136" s="3" t="str">
        <f>"概率论（理科）"</f>
        <v>概率论（理科）</v>
      </c>
      <c r="D136" s="3" t="str">
        <f>"通识基础课"</f>
        <v>通识基础课</v>
      </c>
      <c r="E136" s="3" t="str">
        <f>"黄文毅"</f>
        <v>黄文毅</v>
      </c>
      <c r="F136" s="3" t="str">
        <f>"梁贝贝"</f>
        <v>梁贝贝</v>
      </c>
      <c r="G136" s="3" t="str">
        <f>"220020208001"</f>
        <v>220020208001</v>
      </c>
    </row>
    <row r="137" spans="1:7" ht="21" customHeight="1" x14ac:dyDescent="0.25">
      <c r="A137" s="2">
        <v>135</v>
      </c>
      <c r="B137" s="1" t="str">
        <f>"经济数学学院"</f>
        <v>经济数学学院</v>
      </c>
      <c r="C137" s="3" t="str">
        <f>"线性代数MOOC"</f>
        <v>线性代数MOOC</v>
      </c>
      <c r="D137" s="3" t="str">
        <f>"慕课"</f>
        <v>慕课</v>
      </c>
      <c r="E137" s="3" t="str">
        <f>"韩本三"</f>
        <v>韩本三</v>
      </c>
      <c r="F137" s="3" t="str">
        <f>"李扶摇"</f>
        <v>李扶摇</v>
      </c>
      <c r="G137" s="3" t="str">
        <f>"219020204218"</f>
        <v>219020204218</v>
      </c>
    </row>
    <row r="138" spans="1:7" ht="21" customHeight="1" x14ac:dyDescent="0.25">
      <c r="A138" s="2">
        <v>136</v>
      </c>
      <c r="B138" s="1" t="str">
        <f>"经济数学学院"</f>
        <v>经济数学学院</v>
      </c>
      <c r="C138" s="3" t="str">
        <f>"数学分析Ⅰ（理科）"</f>
        <v>数学分析Ⅰ（理科）</v>
      </c>
      <c r="D138" s="3" t="str">
        <f>"通识基础课"</f>
        <v>通识基础课</v>
      </c>
      <c r="E138" s="3" t="str">
        <f>"李捷"</f>
        <v>李捷</v>
      </c>
      <c r="F138" s="3" t="str">
        <f>"吴宇佳"</f>
        <v>吴宇佳</v>
      </c>
      <c r="G138" s="3" t="str">
        <f>"120071400001"</f>
        <v>120071400001</v>
      </c>
    </row>
    <row r="139" spans="1:7" ht="21" customHeight="1" x14ac:dyDescent="0.25">
      <c r="A139" s="2">
        <v>137</v>
      </c>
      <c r="B139" s="1" t="str">
        <f>"经济数学学院"</f>
        <v>经济数学学院</v>
      </c>
      <c r="C139" s="3" t="str">
        <f>"高等数学Ⅰ"</f>
        <v>高等数学Ⅰ</v>
      </c>
      <c r="D139" s="3" t="str">
        <f>"通识基础课"</f>
        <v>通识基础课</v>
      </c>
      <c r="E139" s="3" t="str">
        <f>"谢果"</f>
        <v>谢果</v>
      </c>
      <c r="F139" s="3" t="str">
        <f>"李昱洁"</f>
        <v>李昱洁</v>
      </c>
      <c r="G139" s="3" t="str">
        <f>"219120204001"</f>
        <v>219120204001</v>
      </c>
    </row>
    <row r="140" spans="1:7" ht="21" customHeight="1" x14ac:dyDescent="0.25">
      <c r="A140" s="2">
        <v>138</v>
      </c>
      <c r="B140" s="1" t="str">
        <f>"经济数学学院"</f>
        <v>经济数学学院</v>
      </c>
      <c r="C140" s="3" t="str">
        <f>"常微分方程"</f>
        <v>常微分方程</v>
      </c>
      <c r="D140" s="3" t="str">
        <f>"大学科基础课"</f>
        <v>大学科基础课</v>
      </c>
      <c r="E140" s="3" t="str">
        <f>"冯保伟"</f>
        <v>冯保伟</v>
      </c>
      <c r="F140" s="3" t="str">
        <f>"王圣"</f>
        <v>王圣</v>
      </c>
      <c r="G140" s="3" t="str">
        <f>"220070100003"</f>
        <v>220070100003</v>
      </c>
    </row>
    <row r="141" spans="1:7" ht="21" customHeight="1" x14ac:dyDescent="0.25">
      <c r="A141" s="2">
        <v>139</v>
      </c>
      <c r="B141" s="1" t="str">
        <f>"经济数学学院"</f>
        <v>经济数学学院</v>
      </c>
      <c r="C141" s="3" t="str">
        <f>"数学分析Ⅰ（理科）"</f>
        <v>数学分析Ⅰ（理科）</v>
      </c>
      <c r="D141" s="3" t="str">
        <f>"通识基础课"</f>
        <v>通识基础课</v>
      </c>
      <c r="E141" s="3" t="str">
        <f>"李捷"</f>
        <v>李捷</v>
      </c>
      <c r="F141" s="3" t="str">
        <f>"王子淳"</f>
        <v>王子淳</v>
      </c>
      <c r="G141" s="3" t="str">
        <f>"119120100003"</f>
        <v>119120100003</v>
      </c>
    </row>
    <row r="142" spans="1:7" ht="21" customHeight="1" x14ac:dyDescent="0.25">
      <c r="A142" s="2">
        <v>140</v>
      </c>
      <c r="B142" s="1" t="str">
        <f>"经济数学学院"</f>
        <v>经济数学学院</v>
      </c>
      <c r="C142" s="3" t="str">
        <f>"概率论（理科）"</f>
        <v>概率论（理科）</v>
      </c>
      <c r="D142" s="3" t="str">
        <f>"通识基础课"</f>
        <v>通识基础课</v>
      </c>
      <c r="E142" s="3" t="str">
        <f>"王鸣晖"</f>
        <v>王鸣晖</v>
      </c>
      <c r="F142" s="3" t="str">
        <f>"吴祥麟"</f>
        <v>吴祥麟</v>
      </c>
      <c r="G142" s="3" t="str">
        <f>"2190202Z1021"</f>
        <v>2190202Z1021</v>
      </c>
    </row>
    <row r="143" spans="1:7" ht="21" customHeight="1" x14ac:dyDescent="0.25">
      <c r="A143" s="2">
        <v>141</v>
      </c>
      <c r="B143" s="1" t="str">
        <f>"经济数学学院"</f>
        <v>经济数学学院</v>
      </c>
      <c r="C143" s="3" t="str">
        <f>"高等代数Ⅰ"</f>
        <v>高等代数Ⅰ</v>
      </c>
      <c r="D143" s="3" t="str">
        <f>"通识基础课"</f>
        <v>通识基础课</v>
      </c>
      <c r="E143" s="3" t="str">
        <f>"赵建容"</f>
        <v>赵建容</v>
      </c>
      <c r="F143" s="3" t="str">
        <f>"付玉"</f>
        <v>付玉</v>
      </c>
      <c r="G143" s="3" t="str">
        <f>"220070100002"</f>
        <v>220070100002</v>
      </c>
    </row>
    <row r="144" spans="1:7" ht="21" customHeight="1" x14ac:dyDescent="0.25">
      <c r="A144" s="2">
        <v>142</v>
      </c>
      <c r="B144" s="1" t="str">
        <f>"经济数学学院"</f>
        <v>经济数学学院</v>
      </c>
      <c r="C144" s="3" t="str">
        <f>"数学分析Ⅰ（理科）"</f>
        <v>数学分析Ⅰ（理科）</v>
      </c>
      <c r="D144" s="3" t="str">
        <f>"通识基础课"</f>
        <v>通识基础课</v>
      </c>
      <c r="E144" s="3" t="str">
        <f>"方敏"</f>
        <v>方敏</v>
      </c>
      <c r="F144" s="3" t="str">
        <f>"丁川倪"</f>
        <v>丁川倪</v>
      </c>
      <c r="G144" s="3" t="str">
        <f>"2200202Z1017"</f>
        <v>2200202Z1017</v>
      </c>
    </row>
    <row r="145" spans="1:7" ht="21" customHeight="1" x14ac:dyDescent="0.25">
      <c r="A145" s="2">
        <v>143</v>
      </c>
      <c r="B145" s="1" t="str">
        <f>"经济数学学院"</f>
        <v>经济数学学院</v>
      </c>
      <c r="C145" s="3" t="str">
        <f>"高等代数Ⅰ"</f>
        <v>高等代数Ⅰ</v>
      </c>
      <c r="D145" s="3" t="str">
        <f>"自由选修课"</f>
        <v>自由选修课</v>
      </c>
      <c r="E145" s="3" t="str">
        <f>"孙云龙"</f>
        <v>孙云龙</v>
      </c>
      <c r="F145" s="3" t="str">
        <f>"翟倩茹"</f>
        <v>翟倩茹</v>
      </c>
      <c r="G145" s="3" t="str">
        <f>"1191202Z9001"</f>
        <v>1191202Z9001</v>
      </c>
    </row>
    <row r="146" spans="1:7" ht="21" customHeight="1" x14ac:dyDescent="0.25">
      <c r="A146" s="2">
        <v>144</v>
      </c>
      <c r="B146" s="1" t="str">
        <f>"经济数学学院"</f>
        <v>经济数学学院</v>
      </c>
      <c r="C146" s="3" t="str">
        <f>"高等数学MOOC"</f>
        <v>高等数学MOOC</v>
      </c>
      <c r="D146" s="3" t="str">
        <f>"慕课"</f>
        <v>慕课</v>
      </c>
      <c r="E146" s="3" t="str">
        <f>"朱文莉"</f>
        <v>朱文莉</v>
      </c>
      <c r="F146" s="3" t="str">
        <f>"张静"</f>
        <v>张静</v>
      </c>
      <c r="G146" s="3" t="str">
        <f>"2191202Z9016"</f>
        <v>2191202Z9016</v>
      </c>
    </row>
    <row r="147" spans="1:7" ht="21" customHeight="1" x14ac:dyDescent="0.25">
      <c r="A147" s="2">
        <v>145</v>
      </c>
      <c r="B147" s="1" t="str">
        <f>"经济数学学院"</f>
        <v>经济数学学院</v>
      </c>
      <c r="C147" s="3" t="str">
        <f>"高等代数Ⅰ"</f>
        <v>高等代数Ⅰ</v>
      </c>
      <c r="D147" s="3" t="str">
        <f>"通识基础课"</f>
        <v>通识基础课</v>
      </c>
      <c r="E147" s="3" t="str">
        <f>"林谦"</f>
        <v>林谦</v>
      </c>
      <c r="F147" s="3" t="str">
        <f>"陈华兴"</f>
        <v>陈华兴</v>
      </c>
      <c r="G147" s="3" t="str">
        <f>"220070100001"</f>
        <v>220070100001</v>
      </c>
    </row>
    <row r="148" spans="1:7" ht="21" customHeight="1" x14ac:dyDescent="0.25">
      <c r="A148" s="2">
        <v>146</v>
      </c>
      <c r="B148" s="1" t="str">
        <f>"经济数学学院"</f>
        <v>经济数学学院</v>
      </c>
      <c r="C148" s="3" t="str">
        <f>"高等代数Ⅰ"</f>
        <v>高等代数Ⅰ</v>
      </c>
      <c r="D148" s="3" t="str">
        <f>"通识基础课"</f>
        <v>通识基础课</v>
      </c>
      <c r="E148" s="3" t="str">
        <f>"曾嵘"</f>
        <v>曾嵘</v>
      </c>
      <c r="F148" s="3" t="str">
        <f>"吕雪"</f>
        <v>吕雪</v>
      </c>
      <c r="G148" s="3" t="str">
        <f>"219071400008"</f>
        <v>219071400008</v>
      </c>
    </row>
    <row r="149" spans="1:7" ht="21" customHeight="1" x14ac:dyDescent="0.25">
      <c r="A149" s="2">
        <v>147</v>
      </c>
      <c r="B149" s="1" t="str">
        <f>"经济数学学院"</f>
        <v>经济数学学院</v>
      </c>
      <c r="C149" s="3" t="str">
        <f>"概率论（理科）"</f>
        <v>概率论（理科）</v>
      </c>
      <c r="D149" s="3" t="str">
        <f>"通识基础课"</f>
        <v>通识基础课</v>
      </c>
      <c r="E149" s="3" t="str">
        <f>"吴萌"</f>
        <v>吴萌</v>
      </c>
      <c r="F149" s="3" t="str">
        <f>"梁婕莹"</f>
        <v>梁婕莹</v>
      </c>
      <c r="G149" s="3" t="str">
        <f>"2200202Z1021"</f>
        <v>2200202Z1021</v>
      </c>
    </row>
    <row r="150" spans="1:7" ht="21" customHeight="1" x14ac:dyDescent="0.25">
      <c r="A150" s="2">
        <v>148</v>
      </c>
      <c r="B150" s="1" t="str">
        <f>"经济数学学院"</f>
        <v>经济数学学院</v>
      </c>
      <c r="C150" s="3" t="str">
        <f>"高等代数Ⅰ"</f>
        <v>高等代数Ⅰ</v>
      </c>
      <c r="D150" s="3" t="str">
        <f>"通识基础课"</f>
        <v>通识基础课</v>
      </c>
      <c r="E150" s="3" t="str">
        <f>"樊胜"</f>
        <v>樊胜</v>
      </c>
      <c r="F150" s="3" t="str">
        <f>"黄泽宇"</f>
        <v>黄泽宇</v>
      </c>
      <c r="G150" s="3" t="str">
        <f>"2190202Z2001"</f>
        <v>2190202Z2001</v>
      </c>
    </row>
    <row r="151" spans="1:7" ht="21" customHeight="1" x14ac:dyDescent="0.25">
      <c r="A151" s="2">
        <v>149</v>
      </c>
      <c r="B151" s="1" t="str">
        <f>"经济数学学院"</f>
        <v>经济数学学院</v>
      </c>
      <c r="C151" s="3" t="str">
        <f>"高等数学Ⅰ"</f>
        <v>高等数学Ⅰ</v>
      </c>
      <c r="D151" s="3" t="str">
        <f>"通识基础课"</f>
        <v>通识基础课</v>
      </c>
      <c r="E151" s="3" t="str">
        <f>"吴静"</f>
        <v>吴静</v>
      </c>
      <c r="F151" s="3" t="str">
        <f>"冯鋆"</f>
        <v>冯鋆</v>
      </c>
      <c r="G151" s="3" t="str">
        <f>"2190202Z1003"</f>
        <v>2190202Z1003</v>
      </c>
    </row>
    <row r="152" spans="1:7" ht="21" customHeight="1" x14ac:dyDescent="0.25">
      <c r="A152" s="2">
        <v>150</v>
      </c>
      <c r="B152" s="1" t="str">
        <f>"经济数学学院"</f>
        <v>经济数学学院</v>
      </c>
      <c r="C152" s="3" t="str">
        <f>"随机过程"</f>
        <v>随机过程</v>
      </c>
      <c r="D152" s="3" t="str">
        <f>"大学科基础课"</f>
        <v>大学科基础课</v>
      </c>
      <c r="E152" s="3" t="str">
        <f>"骆川义"</f>
        <v>骆川义</v>
      </c>
      <c r="F152" s="3" t="str">
        <f>"汪依"</f>
        <v>汪依</v>
      </c>
      <c r="G152" s="3" t="str">
        <f>"220071400017"</f>
        <v>220071400017</v>
      </c>
    </row>
    <row r="153" spans="1:7" ht="21" customHeight="1" x14ac:dyDescent="0.25">
      <c r="A153" s="2">
        <v>151</v>
      </c>
      <c r="B153" s="1" t="str">
        <f>"经济数学学院"</f>
        <v>经济数学学院</v>
      </c>
      <c r="C153" s="3" t="str">
        <f>"数值分析"</f>
        <v>数值分析</v>
      </c>
      <c r="D153" s="3" t="str">
        <f>"大学科基础课"</f>
        <v>大学科基础课</v>
      </c>
      <c r="E153" s="3" t="str">
        <f>"林一丁"</f>
        <v>林一丁</v>
      </c>
      <c r="F153" s="3" t="str">
        <f>"梅梓欣"</f>
        <v>梅梓欣</v>
      </c>
      <c r="G153" s="3" t="str">
        <f>"220070100007"</f>
        <v>220070100007</v>
      </c>
    </row>
    <row r="154" spans="1:7" ht="21" customHeight="1" x14ac:dyDescent="0.25">
      <c r="A154" s="2">
        <v>152</v>
      </c>
      <c r="B154" s="1" t="str">
        <f>"经济数学学院"</f>
        <v>经济数学学院</v>
      </c>
      <c r="C154" s="3" t="str">
        <f>"高等代数Ⅰ"</f>
        <v>高等代数Ⅰ</v>
      </c>
      <c r="D154" s="3" t="str">
        <f>"通识基础课"</f>
        <v>通识基础课</v>
      </c>
      <c r="E154" s="3" t="str">
        <f>"李坤"</f>
        <v>李坤</v>
      </c>
      <c r="F154" s="3" t="str">
        <f>"李享"</f>
        <v>李享</v>
      </c>
      <c r="G154" s="3" t="str">
        <f>"220070100022"</f>
        <v>220070100022</v>
      </c>
    </row>
    <row r="155" spans="1:7" ht="21" customHeight="1" x14ac:dyDescent="0.25">
      <c r="A155" s="2">
        <v>153</v>
      </c>
      <c r="B155" s="1" t="str">
        <f>"经济数学学院"</f>
        <v>经济数学学院</v>
      </c>
      <c r="C155" s="3" t="str">
        <f>"高等代数Ⅰ"</f>
        <v>高等代数Ⅰ</v>
      </c>
      <c r="D155" s="3" t="str">
        <f>"通识基础课"</f>
        <v>通识基础课</v>
      </c>
      <c r="E155" s="3" t="str">
        <f>"林可"</f>
        <v>林可</v>
      </c>
      <c r="F155" s="3" t="str">
        <f>"宋爱民"</f>
        <v>宋爱民</v>
      </c>
      <c r="G155" s="3" t="str">
        <f>"1180202Z1004"</f>
        <v>1180202Z1004</v>
      </c>
    </row>
    <row r="156" spans="1:7" ht="21" customHeight="1" x14ac:dyDescent="0.25">
      <c r="A156" s="2">
        <v>154</v>
      </c>
      <c r="B156" s="1" t="str">
        <f>"经济数学学院"</f>
        <v>经济数学学院</v>
      </c>
      <c r="C156" s="3" t="str">
        <f>"高等数学Ⅰ"</f>
        <v>高等数学Ⅰ</v>
      </c>
      <c r="D156" s="3" t="str">
        <f>"通识基础课"</f>
        <v>通识基础课</v>
      </c>
      <c r="E156" s="3" t="str">
        <f>"戴岱"</f>
        <v>戴岱</v>
      </c>
      <c r="F156" s="3" t="str">
        <f>"高宏"</f>
        <v>高宏</v>
      </c>
      <c r="G156" s="3" t="str">
        <f>"120071400002"</f>
        <v>120071400002</v>
      </c>
    </row>
    <row r="157" spans="1:7" ht="21" customHeight="1" x14ac:dyDescent="0.25">
      <c r="A157" s="2">
        <v>155</v>
      </c>
      <c r="B157" s="1" t="str">
        <f>"经济数学学院"</f>
        <v>经济数学学院</v>
      </c>
      <c r="C157" s="3" t="str">
        <f>"高等数学Ⅰ"</f>
        <v>高等数学Ⅰ</v>
      </c>
      <c r="D157" s="3" t="str">
        <f>"通识基础课"</f>
        <v>通识基础课</v>
      </c>
      <c r="E157" s="3" t="str">
        <f>"刘彩平"</f>
        <v>刘彩平</v>
      </c>
      <c r="F157" s="3" t="str">
        <f>"肖瑶"</f>
        <v>肖瑶</v>
      </c>
      <c r="G157" s="3" t="str">
        <f>"2200202Z1022"</f>
        <v>2200202Z1022</v>
      </c>
    </row>
    <row r="158" spans="1:7" ht="21" customHeight="1" x14ac:dyDescent="0.25">
      <c r="A158" s="2">
        <v>156</v>
      </c>
      <c r="B158" s="1" t="str">
        <f>"经济数学学院"</f>
        <v>经济数学学院</v>
      </c>
      <c r="C158" s="3" t="str">
        <f>"高等代数Ⅰ"</f>
        <v>高等代数Ⅰ</v>
      </c>
      <c r="D158" s="3" t="str">
        <f>"通识基础课"</f>
        <v>通识基础课</v>
      </c>
      <c r="E158" s="3" t="str">
        <f>"李坤"</f>
        <v>李坤</v>
      </c>
      <c r="F158" s="3" t="str">
        <f>"张敏"</f>
        <v>张敏</v>
      </c>
      <c r="G158" s="3" t="str">
        <f>"2200202Z1010"</f>
        <v>2200202Z1010</v>
      </c>
    </row>
    <row r="159" spans="1:7" ht="21" customHeight="1" x14ac:dyDescent="0.25">
      <c r="A159" s="2">
        <v>157</v>
      </c>
      <c r="B159" s="1" t="str">
        <f>"经济数学学院"</f>
        <v>经济数学学院</v>
      </c>
      <c r="C159" s="3" t="str">
        <f>"高等代数II（英文）"</f>
        <v>高等代数II（英文）</v>
      </c>
      <c r="D159" s="3" t="str">
        <f>"专业方向课"</f>
        <v>专业方向课</v>
      </c>
      <c r="E159" s="3" t="str">
        <f>"Wires Alexander"</f>
        <v>Wires Alexander</v>
      </c>
      <c r="F159" s="3" t="str">
        <f>"李阳"</f>
        <v>李阳</v>
      </c>
      <c r="G159" s="3" t="str">
        <f>"1200202Z1003"</f>
        <v>1200202Z1003</v>
      </c>
    </row>
    <row r="160" spans="1:7" ht="21" customHeight="1" x14ac:dyDescent="0.25">
      <c r="A160" s="2">
        <v>158</v>
      </c>
      <c r="B160" s="1" t="str">
        <f>"经济数学学院"</f>
        <v>经济数学学院</v>
      </c>
      <c r="C160" s="3" t="str">
        <f>"高等代数Ⅰ"</f>
        <v>高等代数Ⅰ</v>
      </c>
      <c r="D160" s="3" t="str">
        <f>"通识基础课"</f>
        <v>通识基础课</v>
      </c>
      <c r="E160" s="3" t="str">
        <f>"樊胜"</f>
        <v>樊胜</v>
      </c>
      <c r="F160" s="3" t="str">
        <f>"田琳"</f>
        <v>田琳</v>
      </c>
      <c r="G160" s="3" t="str">
        <f>"220070100014"</f>
        <v>220070100014</v>
      </c>
    </row>
    <row r="161" spans="1:7" ht="21" customHeight="1" x14ac:dyDescent="0.25">
      <c r="A161" s="2">
        <v>159</v>
      </c>
      <c r="B161" s="1" t="str">
        <f>"经济数学学院"</f>
        <v>经济数学学院</v>
      </c>
      <c r="C161" s="3" t="str">
        <f>"概率论（理科）"</f>
        <v>概率论（理科）</v>
      </c>
      <c r="D161" s="3" t="str">
        <f>"通识基础课"</f>
        <v>通识基础课</v>
      </c>
      <c r="E161" s="3" t="str">
        <f>"陈善镇"</f>
        <v>陈善镇</v>
      </c>
      <c r="F161" s="3" t="str">
        <f>"史争光"</f>
        <v>史争光</v>
      </c>
      <c r="G161" s="3" t="str">
        <f>"117020291001"</f>
        <v>117020291001</v>
      </c>
    </row>
    <row r="162" spans="1:7" ht="21" customHeight="1" x14ac:dyDescent="0.25">
      <c r="A162" s="2">
        <v>160</v>
      </c>
      <c r="B162" s="1" t="str">
        <f>"经济数学学院"</f>
        <v>经济数学学院</v>
      </c>
      <c r="C162" s="3" t="str">
        <f>"数学分析Ⅰ（理科）"</f>
        <v>数学分析Ⅰ（理科）</v>
      </c>
      <c r="D162" s="3" t="str">
        <f>"通识基础课"</f>
        <v>通识基础课</v>
      </c>
      <c r="E162" s="3" t="str">
        <f>"邓汝良"</f>
        <v>邓汝良</v>
      </c>
      <c r="F162" s="3" t="str">
        <f>"唐韬"</f>
        <v>唐韬</v>
      </c>
      <c r="G162" s="3" t="str">
        <f>"218020204076"</f>
        <v>218020204076</v>
      </c>
    </row>
    <row r="163" spans="1:7" ht="21" customHeight="1" x14ac:dyDescent="0.25">
      <c r="A163" s="2">
        <v>161</v>
      </c>
      <c r="B163" s="1" t="str">
        <f>"经济数学学院"</f>
        <v>经济数学学院</v>
      </c>
      <c r="C163" s="3" t="str">
        <f>"数学分析Ⅰ（理科）"</f>
        <v>数学分析Ⅰ（理科）</v>
      </c>
      <c r="D163" s="3" t="str">
        <f>"通识基础课"</f>
        <v>通识基础课</v>
      </c>
      <c r="E163" s="3" t="str">
        <f>"黎伟"</f>
        <v>黎伟</v>
      </c>
      <c r="F163" s="3" t="str">
        <f>"余澜"</f>
        <v>余澜</v>
      </c>
      <c r="G163" s="3" t="str">
        <f>"219020208009"</f>
        <v>219020208009</v>
      </c>
    </row>
    <row r="164" spans="1:7" ht="21" customHeight="1" x14ac:dyDescent="0.25">
      <c r="A164" s="2">
        <v>162</v>
      </c>
      <c r="B164" s="1" t="str">
        <f>"经济数学学院"</f>
        <v>经济数学学院</v>
      </c>
      <c r="C164" s="3" t="str">
        <f>"概率论（理科）"</f>
        <v>概率论（理科）</v>
      </c>
      <c r="D164" s="3" t="str">
        <f>"通识基础课"</f>
        <v>通识基础课</v>
      </c>
      <c r="E164" s="3" t="str">
        <f>"陈善镇"</f>
        <v>陈善镇</v>
      </c>
      <c r="F164" s="3" t="str">
        <f>"及祥"</f>
        <v>及祥</v>
      </c>
      <c r="G164" s="3" t="str">
        <f>"220020209003"</f>
        <v>220020209003</v>
      </c>
    </row>
    <row r="165" spans="1:7" ht="21" customHeight="1" x14ac:dyDescent="0.25">
      <c r="A165" s="2">
        <v>163</v>
      </c>
      <c r="B165" s="1" t="str">
        <f>"经济数学学院"</f>
        <v>经济数学学院</v>
      </c>
      <c r="C165" s="3" t="str">
        <f>"数学分析Ⅰ（理科）"</f>
        <v>数学分析Ⅰ（理科）</v>
      </c>
      <c r="D165" s="3" t="str">
        <f>"通识基础课"</f>
        <v>通识基础课</v>
      </c>
      <c r="E165" s="3" t="str">
        <f>"崔红卫"</f>
        <v>崔红卫</v>
      </c>
      <c r="F165" s="3" t="str">
        <f>"佘峻杨"</f>
        <v>佘峻杨</v>
      </c>
      <c r="G165" s="3" t="str">
        <f>"2200202Z1009"</f>
        <v>2200202Z1009</v>
      </c>
    </row>
    <row r="166" spans="1:7" ht="21" customHeight="1" x14ac:dyDescent="0.25">
      <c r="A166" s="2">
        <v>164</v>
      </c>
      <c r="B166" s="1" t="str">
        <f>"经济数学学院"</f>
        <v>经济数学学院</v>
      </c>
      <c r="C166" s="3" t="str">
        <f>"概率论（理科）"</f>
        <v>概率论（理科）</v>
      </c>
      <c r="D166" s="3" t="str">
        <f>"通识基础课"</f>
        <v>通识基础课</v>
      </c>
      <c r="E166" s="3" t="str">
        <f>"李绍文"</f>
        <v>李绍文</v>
      </c>
      <c r="F166" s="3" t="str">
        <f>"郑璋晔"</f>
        <v>郑璋晔</v>
      </c>
      <c r="G166" s="3" t="str">
        <f>"2190202Z1002"</f>
        <v>2190202Z1002</v>
      </c>
    </row>
    <row r="167" spans="1:7" ht="21" customHeight="1" x14ac:dyDescent="0.25">
      <c r="A167" s="2">
        <v>165</v>
      </c>
      <c r="B167" s="1" t="str">
        <f>"经济数学学院"</f>
        <v>经济数学学院</v>
      </c>
      <c r="C167" s="3" t="str">
        <f>"运筹学"</f>
        <v>运筹学</v>
      </c>
      <c r="D167" s="3" t="str">
        <f>"大学科基础课"</f>
        <v>大学科基础课</v>
      </c>
      <c r="E167" s="3" t="str">
        <f>"张文燕"</f>
        <v>张文燕</v>
      </c>
      <c r="F167" s="3" t="str">
        <f>"黄红振"</f>
        <v>黄红振</v>
      </c>
      <c r="G167" s="3" t="str">
        <f>"2200202Z1001"</f>
        <v>2200202Z1001</v>
      </c>
    </row>
    <row r="168" spans="1:7" ht="21" customHeight="1" x14ac:dyDescent="0.25">
      <c r="A168" s="2">
        <v>166</v>
      </c>
      <c r="B168" s="1" t="str">
        <f>"经济数学学院"</f>
        <v>经济数学学院</v>
      </c>
      <c r="C168" s="3" t="str">
        <f>"高等代数Ⅱ"</f>
        <v>高等代数Ⅱ</v>
      </c>
      <c r="D168" s="3" t="str">
        <f>"通识基础课"</f>
        <v>通识基础课</v>
      </c>
      <c r="E168" s="3" t="str">
        <f>"韩本三"</f>
        <v>韩本三</v>
      </c>
      <c r="F168" s="3" t="str">
        <f>"陈灵芝"</f>
        <v>陈灵芝</v>
      </c>
      <c r="G168" s="3" t="str">
        <f>"120020105001"</f>
        <v>120020105001</v>
      </c>
    </row>
    <row r="169" spans="1:7" ht="21" customHeight="1" x14ac:dyDescent="0.25">
      <c r="A169" s="2">
        <v>167</v>
      </c>
      <c r="B169" s="1" t="str">
        <f>"经济数学学院"</f>
        <v>经济数学学院</v>
      </c>
      <c r="C169" s="3" t="str">
        <f>"运筹学"</f>
        <v>运筹学</v>
      </c>
      <c r="D169" s="3" t="str">
        <f>"专业必修课"</f>
        <v>专业必修课</v>
      </c>
      <c r="E169" s="3" t="str">
        <f>"张文燕"</f>
        <v>张文燕</v>
      </c>
      <c r="F169" s="3" t="str">
        <f>"周丽婷"</f>
        <v>周丽婷</v>
      </c>
      <c r="G169" s="3" t="str">
        <f>"2190202Z1019"</f>
        <v>2190202Z1019</v>
      </c>
    </row>
    <row r="170" spans="1:7" ht="21" customHeight="1" x14ac:dyDescent="0.25">
      <c r="A170" s="2">
        <v>168</v>
      </c>
      <c r="B170" s="1" t="str">
        <f>"经济数学学院"</f>
        <v>经济数学学院</v>
      </c>
      <c r="C170" s="3" t="str">
        <f>"数学分析Ⅲ（理科）"</f>
        <v>数学分析Ⅲ（理科）</v>
      </c>
      <c r="D170" s="3" t="str">
        <f>"通识基础课"</f>
        <v>通识基础课</v>
      </c>
      <c r="E170" s="3" t="str">
        <f>"尹正"</f>
        <v>尹正</v>
      </c>
      <c r="F170" s="3" t="str">
        <f>"秦志龙"</f>
        <v>秦志龙</v>
      </c>
      <c r="G170" s="3" t="str">
        <f>"118020104007"</f>
        <v>118020104007</v>
      </c>
    </row>
    <row r="171" spans="1:7" ht="21" customHeight="1" x14ac:dyDescent="0.25">
      <c r="A171" s="2">
        <v>169</v>
      </c>
      <c r="B171" s="1" t="str">
        <f>"经济数学学院"</f>
        <v>经济数学学院</v>
      </c>
      <c r="C171" s="3" t="str">
        <f>"数学分析Ⅰ（理科）"</f>
        <v>数学分析Ⅰ（理科）</v>
      </c>
      <c r="D171" s="3" t="str">
        <f>"通识基础课"</f>
        <v>通识基础课</v>
      </c>
      <c r="E171" s="3" t="str">
        <f>"崔红卫"</f>
        <v>崔红卫</v>
      </c>
      <c r="F171" s="3" t="str">
        <f>"陆艺升"</f>
        <v>陆艺升</v>
      </c>
      <c r="G171" s="3" t="str">
        <f>"219020204030"</f>
        <v>219020204030</v>
      </c>
    </row>
    <row r="172" spans="1:7" ht="21" customHeight="1" x14ac:dyDescent="0.25">
      <c r="A172" s="2">
        <v>170</v>
      </c>
      <c r="B172" s="1" t="str">
        <f>"经济数学学院"</f>
        <v>经济数学学院</v>
      </c>
      <c r="C172" s="3" t="str">
        <f>"高等代数Ⅰ"</f>
        <v>高等代数Ⅰ</v>
      </c>
      <c r="D172" s="3" t="str">
        <f>"通识基础课"</f>
        <v>通识基础课</v>
      </c>
      <c r="E172" s="3" t="str">
        <f>"吴曦"</f>
        <v>吴曦</v>
      </c>
      <c r="F172" s="3" t="str">
        <f>"卫村"</f>
        <v>卫村</v>
      </c>
      <c r="G172" s="3" t="str">
        <f>"119120100001"</f>
        <v>119120100001</v>
      </c>
    </row>
    <row r="173" spans="1:7" ht="21" customHeight="1" x14ac:dyDescent="0.25">
      <c r="A173" s="2">
        <v>171</v>
      </c>
      <c r="B173" s="1" t="str">
        <f>"经济数学学院"</f>
        <v>经济数学学院</v>
      </c>
      <c r="C173" s="3" t="str">
        <f>"高等数学Ⅰ"</f>
        <v>高等数学Ⅰ</v>
      </c>
      <c r="D173" s="3" t="str">
        <f>"通识基础课"</f>
        <v>通识基础课</v>
      </c>
      <c r="E173" s="3" t="str">
        <f>"林一丁"</f>
        <v>林一丁</v>
      </c>
      <c r="F173" s="3" t="str">
        <f>"仵程宽"</f>
        <v>仵程宽</v>
      </c>
      <c r="G173" s="3" t="str">
        <f>"118020201003"</f>
        <v>118020201003</v>
      </c>
    </row>
    <row r="174" spans="1:7" ht="21" customHeight="1" x14ac:dyDescent="0.25">
      <c r="A174" s="2">
        <v>172</v>
      </c>
      <c r="B174" s="1" t="str">
        <f>"经济数学学院"</f>
        <v>经济数学学院</v>
      </c>
      <c r="C174" s="3" t="str">
        <f>"概率论（理科）"</f>
        <v>概率论（理科）</v>
      </c>
      <c r="D174" s="3" t="str">
        <f>"通识基础课"</f>
        <v>通识基础课</v>
      </c>
      <c r="E174" s="3" t="str">
        <f>"吴萌"</f>
        <v>吴萌</v>
      </c>
      <c r="F174" s="3" t="str">
        <f>"杨斯琴"</f>
        <v>杨斯琴</v>
      </c>
      <c r="G174" s="3" t="str">
        <f>"2200202Z1016"</f>
        <v>2200202Z1016</v>
      </c>
    </row>
    <row r="175" spans="1:7" ht="21" customHeight="1" x14ac:dyDescent="0.25">
      <c r="A175" s="2">
        <v>173</v>
      </c>
      <c r="B175" s="1" t="str">
        <f>"经济数学学院"</f>
        <v>经济数学学院</v>
      </c>
      <c r="C175" s="3" t="str">
        <f>"概率论（理科）"</f>
        <v>概率论（理科）</v>
      </c>
      <c r="D175" s="3" t="str">
        <f>"通识基础课"</f>
        <v>通识基础课</v>
      </c>
      <c r="E175" s="3" t="str">
        <f>"徐凤"</f>
        <v>徐凤</v>
      </c>
      <c r="F175" s="3" t="str">
        <f>"董礼"</f>
        <v>董礼</v>
      </c>
      <c r="G175" s="3" t="str">
        <f>"119120204004"</f>
        <v>119120204004</v>
      </c>
    </row>
    <row r="176" spans="1:7" ht="21" customHeight="1" x14ac:dyDescent="0.25">
      <c r="A176" s="2">
        <v>174</v>
      </c>
      <c r="B176" s="1" t="str">
        <f>"经济数学学院"</f>
        <v>经济数学学院</v>
      </c>
      <c r="C176" s="3" t="str">
        <f>"数学分析Ⅰ（理科）"</f>
        <v>数学分析Ⅰ（理科）</v>
      </c>
      <c r="D176" s="3" t="str">
        <f>"通识基础课"</f>
        <v>通识基础课</v>
      </c>
      <c r="E176" s="3" t="str">
        <f>"代宏霞"</f>
        <v>代宏霞</v>
      </c>
      <c r="F176" s="3" t="str">
        <f>"倪丽亚"</f>
        <v>倪丽亚</v>
      </c>
      <c r="G176" s="3" t="str">
        <f>"2190202Z1018"</f>
        <v>2190202Z1018</v>
      </c>
    </row>
    <row r="177" spans="1:7" ht="21" customHeight="1" x14ac:dyDescent="0.25">
      <c r="A177" s="2">
        <v>175</v>
      </c>
      <c r="B177" s="1" t="str">
        <f>"经济数学学院"</f>
        <v>经济数学学院</v>
      </c>
      <c r="C177" s="3" t="str">
        <f>"数学分析I（英文）"</f>
        <v>数学分析I（英文）</v>
      </c>
      <c r="D177" s="3" t="str">
        <f>"通识基础课"</f>
        <v>通识基础课</v>
      </c>
      <c r="E177" s="3" t="str">
        <f>"郭训香"</f>
        <v>郭训香</v>
      </c>
      <c r="F177" s="3" t="str">
        <f>"张鸿宇"</f>
        <v>张鸿宇</v>
      </c>
      <c r="G177" s="3" t="str">
        <f>"2200202Z1011"</f>
        <v>2200202Z1011</v>
      </c>
    </row>
    <row r="178" spans="1:7" ht="21" customHeight="1" x14ac:dyDescent="0.25">
      <c r="A178" s="2">
        <v>176</v>
      </c>
      <c r="B178" s="1" t="str">
        <f>"经济数学学院"</f>
        <v>经济数学学院</v>
      </c>
      <c r="C178" s="3" t="str">
        <f>"概率论（理科）"</f>
        <v>概率论（理科）</v>
      </c>
      <c r="D178" s="3" t="str">
        <f>"通识基础课"</f>
        <v>通识基础课</v>
      </c>
      <c r="E178" s="3" t="str">
        <f>"徐凤"</f>
        <v>徐凤</v>
      </c>
      <c r="F178" s="3" t="str">
        <f>"褚天骄"</f>
        <v>褚天骄</v>
      </c>
      <c r="G178" s="3" t="str">
        <f>"220020208020"</f>
        <v>220020208020</v>
      </c>
    </row>
    <row r="179" spans="1:7" ht="21" customHeight="1" x14ac:dyDescent="0.25">
      <c r="A179" s="2">
        <v>177</v>
      </c>
      <c r="B179" s="1" t="str">
        <f>"经济数学学院"</f>
        <v>经济数学学院</v>
      </c>
      <c r="C179" s="3" t="str">
        <f>"数学分析Ⅰ（理科）"</f>
        <v>数学分析Ⅰ（理科）</v>
      </c>
      <c r="D179" s="3" t="str">
        <f>"通识基础课"</f>
        <v>通识基础课</v>
      </c>
      <c r="E179" s="3" t="str">
        <f>"张具明"</f>
        <v>张具明</v>
      </c>
      <c r="F179" s="3" t="str">
        <f>"颜宇"</f>
        <v>颜宇</v>
      </c>
      <c r="G179" s="3" t="str">
        <f>"1200201Z2001"</f>
        <v>1200201Z2001</v>
      </c>
    </row>
    <row r="180" spans="1:7" ht="21" customHeight="1" x14ac:dyDescent="0.25">
      <c r="A180" s="2">
        <v>178</v>
      </c>
      <c r="B180" s="1" t="str">
        <f>"经济数学学院"</f>
        <v>经济数学学院</v>
      </c>
      <c r="C180" s="3" t="str">
        <f>"金融优化"</f>
        <v>金融优化</v>
      </c>
      <c r="D180" s="3" t="str">
        <f>"专业方向课"</f>
        <v>专业方向课</v>
      </c>
      <c r="E180" s="3" t="str">
        <f>"张清邦"</f>
        <v>张清邦</v>
      </c>
      <c r="F180" s="3" t="str">
        <f>"刘越"</f>
        <v>刘越</v>
      </c>
      <c r="G180" s="3" t="str">
        <f>"220070100018"</f>
        <v>220070100018</v>
      </c>
    </row>
    <row r="181" spans="1:7" ht="21" customHeight="1" x14ac:dyDescent="0.25">
      <c r="A181" s="2">
        <v>179</v>
      </c>
      <c r="B181" s="1" t="str">
        <f>"经济信息工程学院"</f>
        <v>经济信息工程学院</v>
      </c>
      <c r="C181" s="3" t="str">
        <f>"互联网金融MOOC"</f>
        <v>互联网金融MOOC</v>
      </c>
      <c r="D181" s="3" t="str">
        <f>"慕课"</f>
        <v>慕课</v>
      </c>
      <c r="E181" s="3" t="str">
        <f>"帅青红"</f>
        <v>帅青红</v>
      </c>
      <c r="F181" s="3" t="str">
        <f>"鲜晓静"</f>
        <v>鲜晓静</v>
      </c>
      <c r="G181" s="3" t="str">
        <f>"220020204208"</f>
        <v>220020204208</v>
      </c>
    </row>
    <row r="182" spans="1:7" ht="21" customHeight="1" x14ac:dyDescent="0.25">
      <c r="A182" s="2">
        <v>180</v>
      </c>
      <c r="B182" s="1" t="str">
        <f>"经济信息工程学院"</f>
        <v>经济信息工程学院</v>
      </c>
      <c r="C182" s="3" t="str">
        <f>"高等数学Ⅰ"</f>
        <v>高等数学Ⅰ</v>
      </c>
      <c r="D182" s="3" t="str">
        <f>"通识基础课"</f>
        <v>通识基础课</v>
      </c>
      <c r="E182" s="3" t="str">
        <f>"熊文军"</f>
        <v>熊文军</v>
      </c>
      <c r="F182" s="3" t="str">
        <f>"舒涛"</f>
        <v>舒涛</v>
      </c>
      <c r="G182" s="3" t="str">
        <f>"1181202Z3002"</f>
        <v>1181202Z3002</v>
      </c>
    </row>
    <row r="183" spans="1:7" ht="21" customHeight="1" x14ac:dyDescent="0.25">
      <c r="A183" s="2">
        <v>181</v>
      </c>
      <c r="B183" s="1" t="str">
        <f>"经济学院"</f>
        <v>经济学院</v>
      </c>
      <c r="C183" s="3" t="str">
        <f>"宏观经济学"</f>
        <v>宏观经济学</v>
      </c>
      <c r="D183" s="3" t="str">
        <f>"大学科基础课"</f>
        <v>大学科基础课</v>
      </c>
      <c r="E183" s="3" t="str">
        <f>"吴安兵"</f>
        <v>吴安兵</v>
      </c>
      <c r="F183" s="3" t="str">
        <f>"张振继"</f>
        <v>张振继</v>
      </c>
      <c r="G183" s="3" t="str">
        <f>"220020101007"</f>
        <v>220020101007</v>
      </c>
    </row>
    <row r="184" spans="1:7" ht="21" customHeight="1" x14ac:dyDescent="0.25">
      <c r="A184" s="2">
        <v>182</v>
      </c>
      <c r="B184" s="1" t="str">
        <f>"经济学院"</f>
        <v>经济学院</v>
      </c>
      <c r="C184" s="3" t="str">
        <f>"政治经济学"</f>
        <v>政治经济学</v>
      </c>
      <c r="D184" s="3" t="str">
        <f>"大学科基础课"</f>
        <v>大学科基础课</v>
      </c>
      <c r="E184" s="3" t="str">
        <f>"蒋南平"</f>
        <v>蒋南平</v>
      </c>
      <c r="F184" s="3" t="str">
        <f>"邓玲"</f>
        <v>邓玲</v>
      </c>
      <c r="G184" s="3" t="str">
        <f>"220020101014"</f>
        <v>220020101014</v>
      </c>
    </row>
    <row r="185" spans="1:7" ht="21" customHeight="1" x14ac:dyDescent="0.25">
      <c r="A185" s="2">
        <v>183</v>
      </c>
      <c r="B185" s="1" t="str">
        <f>"经济学院"</f>
        <v>经济学院</v>
      </c>
      <c r="C185" s="3" t="str">
        <f>"微观经济学"</f>
        <v>微观经济学</v>
      </c>
      <c r="D185" s="3" t="str">
        <f>"大学科基础课"</f>
        <v>大学科基础课</v>
      </c>
      <c r="E185" s="3" t="str">
        <f>"谢洪燕"</f>
        <v>谢洪燕</v>
      </c>
      <c r="F185" s="3" t="str">
        <f>"李旻珏"</f>
        <v>李旻珏</v>
      </c>
      <c r="G185" s="3" t="str">
        <f>"220020105008"</f>
        <v>220020105008</v>
      </c>
    </row>
    <row r="186" spans="1:7" ht="21" customHeight="1" x14ac:dyDescent="0.25">
      <c r="A186" s="2">
        <v>184</v>
      </c>
      <c r="B186" s="1" t="str">
        <f>"经济学院"</f>
        <v>经济学院</v>
      </c>
      <c r="C186" s="3" t="str">
        <f>"微观经济学"</f>
        <v>微观经济学</v>
      </c>
      <c r="D186" s="3" t="str">
        <f>"大学科基础课"</f>
        <v>大学科基础课</v>
      </c>
      <c r="E186" s="3" t="str">
        <f>"李毅"</f>
        <v>李毅</v>
      </c>
      <c r="F186" s="3" t="str">
        <f>"蒋佳融"</f>
        <v>蒋佳融</v>
      </c>
      <c r="G186" s="3" t="str">
        <f>"2200202Z7007"</f>
        <v>2200202Z7007</v>
      </c>
    </row>
    <row r="187" spans="1:7" ht="21" customHeight="1" x14ac:dyDescent="0.25">
      <c r="A187" s="2">
        <v>185</v>
      </c>
      <c r="B187" s="1" t="str">
        <f>"经济学院"</f>
        <v>经济学院</v>
      </c>
      <c r="C187" s="3" t="str">
        <f>"政治经济学"</f>
        <v>政治经济学</v>
      </c>
      <c r="D187" s="3" t="str">
        <f>"大学科基础课"</f>
        <v>大学科基础课</v>
      </c>
      <c r="E187" s="3" t="str">
        <f>"蒋南平"</f>
        <v>蒋南平</v>
      </c>
      <c r="F187" s="3" t="str">
        <f>"张明明"</f>
        <v>张明明</v>
      </c>
      <c r="G187" s="3" t="str">
        <f>"120020101005"</f>
        <v>120020101005</v>
      </c>
    </row>
    <row r="188" spans="1:7" ht="21" customHeight="1" x14ac:dyDescent="0.25">
      <c r="A188" s="2">
        <v>186</v>
      </c>
      <c r="B188" s="1" t="str">
        <f>"经济学院"</f>
        <v>经济学院</v>
      </c>
      <c r="C188" s="3" t="str">
        <f>"宏观经济学"</f>
        <v>宏观经济学</v>
      </c>
      <c r="D188" s="3" t="str">
        <f>"大学科基础课"</f>
        <v>大学科基础课</v>
      </c>
      <c r="E188" s="3" t="str">
        <f>"吴应军"</f>
        <v>吴应军</v>
      </c>
      <c r="F188" s="3" t="str">
        <f>"赵雅婷"</f>
        <v>赵雅婷</v>
      </c>
      <c r="G188" s="3" t="str">
        <f>"220020104026"</f>
        <v>220020104026</v>
      </c>
    </row>
    <row r="189" spans="1:7" ht="21" customHeight="1" x14ac:dyDescent="0.25">
      <c r="A189" s="2">
        <v>187</v>
      </c>
      <c r="B189" s="1" t="str">
        <f>"经济学院"</f>
        <v>经济学院</v>
      </c>
      <c r="C189" s="3" t="str">
        <f>"微观经济学"</f>
        <v>微观经济学</v>
      </c>
      <c r="D189" s="3" t="str">
        <f>"大学科基础课"</f>
        <v>大学科基础课</v>
      </c>
      <c r="E189" s="3" t="str">
        <f>"王湛"</f>
        <v>王湛</v>
      </c>
      <c r="F189" s="3" t="str">
        <f>"李杨阵"</f>
        <v>李杨阵</v>
      </c>
      <c r="G189" s="3" t="str">
        <f>"2200202Z7029"</f>
        <v>2200202Z7029</v>
      </c>
    </row>
    <row r="190" spans="1:7" ht="21" customHeight="1" x14ac:dyDescent="0.25">
      <c r="A190" s="2">
        <v>188</v>
      </c>
      <c r="B190" s="1" t="str">
        <f>"经济学院"</f>
        <v>经济学院</v>
      </c>
      <c r="C190" s="3" t="str">
        <f>"宏观经济学"</f>
        <v>宏观经济学</v>
      </c>
      <c r="D190" s="3" t="str">
        <f>"大学科基础课"</f>
        <v>大学科基础课</v>
      </c>
      <c r="E190" s="3" t="str">
        <f>"吴安兵"</f>
        <v>吴安兵</v>
      </c>
      <c r="F190" s="3" t="str">
        <f>"陈雅婕"</f>
        <v>陈雅婕</v>
      </c>
      <c r="G190" s="3" t="str">
        <f>"120020204026"</f>
        <v>120020204026</v>
      </c>
    </row>
    <row r="191" spans="1:7" ht="21" customHeight="1" x14ac:dyDescent="0.25">
      <c r="A191" s="2">
        <v>189</v>
      </c>
      <c r="B191" s="1" t="str">
        <f>"经济学院"</f>
        <v>经济学院</v>
      </c>
      <c r="C191" s="3" t="str">
        <f>"中级宏观经济学MOOC"</f>
        <v>中级宏观经济学MOOC</v>
      </c>
      <c r="D191" s="3" t="str">
        <f>"慕课"</f>
        <v>慕课</v>
      </c>
      <c r="E191" s="3" t="str">
        <f>"陈师"</f>
        <v>陈师</v>
      </c>
      <c r="F191" s="3" t="str">
        <f>"姚玟羽"</f>
        <v>姚玟羽</v>
      </c>
      <c r="G191" s="3" t="str">
        <f>"119020101001"</f>
        <v>119020101001</v>
      </c>
    </row>
    <row r="192" spans="1:7" ht="21" customHeight="1" x14ac:dyDescent="0.25">
      <c r="A192" s="2">
        <v>190</v>
      </c>
      <c r="B192" s="1" t="str">
        <f>"经济学院"</f>
        <v>经济学院</v>
      </c>
      <c r="C192" s="3" t="str">
        <f>"宏观经济学"</f>
        <v>宏观经济学</v>
      </c>
      <c r="D192" s="3" t="str">
        <f>"大学科基础课"</f>
        <v>大学科基础课</v>
      </c>
      <c r="E192" s="3" t="str">
        <f>"杨慧玲"</f>
        <v>杨慧玲</v>
      </c>
      <c r="F192" s="3" t="str">
        <f>"易恩文"</f>
        <v>易恩文</v>
      </c>
      <c r="G192" s="3" t="str">
        <f>"120020101001"</f>
        <v>120020101001</v>
      </c>
    </row>
    <row r="193" spans="1:7" ht="21" customHeight="1" x14ac:dyDescent="0.25">
      <c r="A193" s="2">
        <v>191</v>
      </c>
      <c r="B193" s="1" t="str">
        <f>"经济学院"</f>
        <v>经济学院</v>
      </c>
      <c r="C193" s="3" t="str">
        <f>"宏观经济学"</f>
        <v>宏观经济学</v>
      </c>
      <c r="D193" s="3" t="str">
        <f>"大学科基础课"</f>
        <v>大学科基础课</v>
      </c>
      <c r="E193" s="3" t="str">
        <f>"毛盛志"</f>
        <v>毛盛志</v>
      </c>
      <c r="F193" s="3" t="str">
        <f>"王寅苏"</f>
        <v>王寅苏</v>
      </c>
      <c r="G193" s="3" t="str">
        <f>"120020106001"</f>
        <v>120020106001</v>
      </c>
    </row>
    <row r="194" spans="1:7" ht="21" customHeight="1" x14ac:dyDescent="0.25">
      <c r="A194" s="2">
        <v>192</v>
      </c>
      <c r="B194" s="1" t="str">
        <f>"经济学院"</f>
        <v>经济学院</v>
      </c>
      <c r="C194" s="3" t="str">
        <f>"政治经济学"</f>
        <v>政治经济学</v>
      </c>
      <c r="D194" s="3" t="str">
        <f>"专业必修课"</f>
        <v>专业必修课</v>
      </c>
      <c r="E194" s="3" t="str">
        <f>"陈姝兴"</f>
        <v>陈姝兴</v>
      </c>
      <c r="F194" s="3" t="str">
        <f>"丁登龙"</f>
        <v>丁登龙</v>
      </c>
      <c r="G194" s="3" t="str">
        <f>"219020101007"</f>
        <v>219020101007</v>
      </c>
    </row>
    <row r="195" spans="1:7" ht="21" customHeight="1" x14ac:dyDescent="0.25">
      <c r="A195" s="2">
        <v>193</v>
      </c>
      <c r="B195" s="1" t="str">
        <f>"经济学院"</f>
        <v>经济学院</v>
      </c>
      <c r="C195" s="3" t="str">
        <f>"微观经济学"</f>
        <v>微观经济学</v>
      </c>
      <c r="D195" s="3" t="str">
        <f>"大学科基础课"</f>
        <v>大学科基础课</v>
      </c>
      <c r="E195" s="3" t="str">
        <f>"谢洪燕"</f>
        <v>谢洪燕</v>
      </c>
      <c r="F195" s="3" t="str">
        <f>"闫凤姣"</f>
        <v>闫凤姣</v>
      </c>
      <c r="G195" s="3" t="str">
        <f>"220020105005"</f>
        <v>220020105005</v>
      </c>
    </row>
    <row r="196" spans="1:7" ht="21" customHeight="1" x14ac:dyDescent="0.25">
      <c r="A196" s="2">
        <v>194</v>
      </c>
      <c r="B196" s="1" t="str">
        <f>"经济学院"</f>
        <v>经济学院</v>
      </c>
      <c r="C196" s="3" t="str">
        <f>"计量经济学"</f>
        <v>计量经济学</v>
      </c>
      <c r="D196" s="3" t="str">
        <f>"专业必修课"</f>
        <v>专业必修课</v>
      </c>
      <c r="E196" s="3" t="str">
        <f>"徐舒"</f>
        <v>徐舒</v>
      </c>
      <c r="F196" s="3" t="str">
        <f>"孙可可"</f>
        <v>孙可可</v>
      </c>
      <c r="G196" s="3" t="str">
        <f>"219020104014"</f>
        <v>219020104014</v>
      </c>
    </row>
    <row r="197" spans="1:7" ht="21" customHeight="1" x14ac:dyDescent="0.25">
      <c r="A197" s="2">
        <v>195</v>
      </c>
      <c r="B197" s="1" t="str">
        <f>"经济学院"</f>
        <v>经济学院</v>
      </c>
      <c r="C197" s="3" t="str">
        <f>"政治经济学"</f>
        <v>政治经济学</v>
      </c>
      <c r="D197" s="3" t="str">
        <f>"大学科基础课"</f>
        <v>大学科基础课</v>
      </c>
      <c r="E197" s="3" t="str">
        <f>"徐志向"</f>
        <v>徐志向</v>
      </c>
      <c r="F197" s="3" t="str">
        <f>"李溪铭"</f>
        <v>李溪铭</v>
      </c>
      <c r="G197" s="3" t="str">
        <f>"219020202008"</f>
        <v>219020202008</v>
      </c>
    </row>
    <row r="198" spans="1:7" ht="21" customHeight="1" x14ac:dyDescent="0.25">
      <c r="A198" s="2">
        <v>196</v>
      </c>
      <c r="B198" s="1" t="str">
        <f>"经济学院"</f>
        <v>经济学院</v>
      </c>
      <c r="C198" s="3" t="str">
        <f>"微观经济学"</f>
        <v>微观经济学</v>
      </c>
      <c r="D198" s="3" t="str">
        <f>"大学科基础课"</f>
        <v>大学科基础课</v>
      </c>
      <c r="E198" s="3" t="str">
        <f>"李毅"</f>
        <v>李毅</v>
      </c>
      <c r="F198" s="3" t="str">
        <f>"唐卓思"</f>
        <v>唐卓思</v>
      </c>
      <c r="G198" s="3" t="str">
        <f>"119020204011"</f>
        <v>119020204011</v>
      </c>
    </row>
    <row r="199" spans="1:7" ht="21" customHeight="1" x14ac:dyDescent="0.25">
      <c r="A199" s="2">
        <v>197</v>
      </c>
      <c r="B199" s="1" t="str">
        <f>"经济学院"</f>
        <v>经济学院</v>
      </c>
      <c r="C199" s="3" t="str">
        <f>"微观经济学"</f>
        <v>微观经济学</v>
      </c>
      <c r="D199" s="3" t="str">
        <f>"大学科基础课"</f>
        <v>大学科基础课</v>
      </c>
      <c r="E199" s="3" t="str">
        <f>"王帝"</f>
        <v>王帝</v>
      </c>
      <c r="F199" s="3" t="str">
        <f>"何杨曦照"</f>
        <v>何杨曦照</v>
      </c>
      <c r="G199" s="3" t="str">
        <f>"120020104005"</f>
        <v>120020104005</v>
      </c>
    </row>
    <row r="200" spans="1:7" ht="21" customHeight="1" x14ac:dyDescent="0.25">
      <c r="A200" s="2">
        <v>198</v>
      </c>
      <c r="B200" s="1" t="str">
        <f>"经济学院"</f>
        <v>经济学院</v>
      </c>
      <c r="C200" s="3" t="str">
        <f>"微观经济学"</f>
        <v>微观经济学</v>
      </c>
      <c r="D200" s="3" t="str">
        <f>"大学科基础课"</f>
        <v>大学科基础课</v>
      </c>
      <c r="E200" s="3" t="str">
        <f>"王帝"</f>
        <v>王帝</v>
      </c>
      <c r="F200" s="3" t="str">
        <f>"陈东"</f>
        <v>陈东</v>
      </c>
      <c r="G200" s="3" t="str">
        <f>"120020104012"</f>
        <v>120020104012</v>
      </c>
    </row>
    <row r="201" spans="1:7" ht="21" customHeight="1" x14ac:dyDescent="0.25">
      <c r="A201" s="2">
        <v>199</v>
      </c>
      <c r="B201" s="1" t="str">
        <f>"经济学院"</f>
        <v>经济学院</v>
      </c>
      <c r="C201" s="3" t="str">
        <f>"微观经济学"</f>
        <v>微观经济学</v>
      </c>
      <c r="D201" s="3" t="str">
        <f>"大学科基础课"</f>
        <v>大学科基础课</v>
      </c>
      <c r="E201" s="3" t="str">
        <f>"袁正"</f>
        <v>袁正</v>
      </c>
      <c r="F201" s="3" t="str">
        <f>"张赛"</f>
        <v>张赛</v>
      </c>
      <c r="G201" s="3" t="str">
        <f>"220020104004"</f>
        <v>220020104004</v>
      </c>
    </row>
    <row r="202" spans="1:7" ht="21" customHeight="1" x14ac:dyDescent="0.25">
      <c r="A202" s="2">
        <v>200</v>
      </c>
      <c r="B202" s="1" t="str">
        <f>"经济学院"</f>
        <v>经济学院</v>
      </c>
      <c r="C202" s="3" t="str">
        <f>"政治经济学"</f>
        <v>政治经济学</v>
      </c>
      <c r="D202" s="3" t="str">
        <f>"大学科基础课"</f>
        <v>大学科基础课</v>
      </c>
      <c r="E202" s="3" t="str">
        <f>"冯鹏程"</f>
        <v>冯鹏程</v>
      </c>
      <c r="F202" s="3" t="str">
        <f>"代敏"</f>
        <v>代敏</v>
      </c>
      <c r="G202" s="3" t="str">
        <f>"220020101019"</f>
        <v>220020101019</v>
      </c>
    </row>
    <row r="203" spans="1:7" ht="21" customHeight="1" x14ac:dyDescent="0.25">
      <c r="A203" s="2">
        <v>201</v>
      </c>
      <c r="B203" s="1" t="str">
        <f>"经济学院"</f>
        <v>经济学院</v>
      </c>
      <c r="C203" s="3" t="str">
        <f>"微观经济学（双语）"</f>
        <v>微观经济学（双语）</v>
      </c>
      <c r="D203" s="3" t="str">
        <f>"大学科基础课"</f>
        <v>大学科基础课</v>
      </c>
      <c r="E203" s="3" t="str">
        <f>"郎旭"</f>
        <v>郎旭</v>
      </c>
      <c r="F203" s="3" t="str">
        <f>"杨小奇"</f>
        <v>杨小奇</v>
      </c>
      <c r="G203" s="3" t="str">
        <f>"120020204032"</f>
        <v>120020204032</v>
      </c>
    </row>
    <row r="204" spans="1:7" ht="21" customHeight="1" x14ac:dyDescent="0.25">
      <c r="A204" s="2">
        <v>202</v>
      </c>
      <c r="B204" s="1" t="str">
        <f>"经济学院"</f>
        <v>经济学院</v>
      </c>
      <c r="C204" s="3" t="str">
        <f>"微观经济学"</f>
        <v>微观经济学</v>
      </c>
      <c r="D204" s="3" t="str">
        <f>"大学科基础课"</f>
        <v>大学科基础课</v>
      </c>
      <c r="E204" s="3" t="str">
        <f>"赵劲松"</f>
        <v>赵劲松</v>
      </c>
      <c r="F204" s="3" t="str">
        <f>"周思言"</f>
        <v>周思言</v>
      </c>
      <c r="G204" s="3" t="str">
        <f>"119020204031"</f>
        <v>119020204031</v>
      </c>
    </row>
    <row r="205" spans="1:7" ht="21" customHeight="1" x14ac:dyDescent="0.25">
      <c r="A205" s="2">
        <v>203</v>
      </c>
      <c r="B205" s="1" t="str">
        <f>"经济学院"</f>
        <v>经济学院</v>
      </c>
      <c r="C205" s="3" t="str">
        <f>"微观经济学"</f>
        <v>微观经济学</v>
      </c>
      <c r="D205" s="3" t="str">
        <f>"大学科基础课"</f>
        <v>大学科基础课</v>
      </c>
      <c r="E205" s="3" t="str">
        <f>"赵劲松"</f>
        <v>赵劲松</v>
      </c>
      <c r="F205" s="3" t="str">
        <f>"侯善帅"</f>
        <v>侯善帅</v>
      </c>
      <c r="G205" s="3" t="str">
        <f>"119020103001"</f>
        <v>119020103001</v>
      </c>
    </row>
    <row r="206" spans="1:7" ht="21" customHeight="1" x14ac:dyDescent="0.25">
      <c r="A206" s="2">
        <v>204</v>
      </c>
      <c r="B206" s="1" t="str">
        <f>"经济学院"</f>
        <v>经济学院</v>
      </c>
      <c r="C206" s="3" t="str">
        <f>"宏观经济学"</f>
        <v>宏观经济学</v>
      </c>
      <c r="D206" s="3" t="str">
        <f>"大学科基础课"</f>
        <v>大学科基础课</v>
      </c>
      <c r="E206" s="3" t="str">
        <f>"黄俊兵"</f>
        <v>黄俊兵</v>
      </c>
      <c r="F206" s="3" t="str">
        <f>"汪亚君"</f>
        <v>汪亚君</v>
      </c>
      <c r="G206" s="3" t="str">
        <f>"2190201Z2003"</f>
        <v>2190201Z2003</v>
      </c>
    </row>
    <row r="207" spans="1:7" ht="21" customHeight="1" x14ac:dyDescent="0.25">
      <c r="A207" s="2">
        <v>205</v>
      </c>
      <c r="B207" s="1" t="str">
        <f>"经济学院"</f>
        <v>经济学院</v>
      </c>
      <c r="C207" s="3" t="str">
        <f>"微观经济学"</f>
        <v>微观经济学</v>
      </c>
      <c r="D207" s="3" t="str">
        <f>"通识基础课"</f>
        <v>通识基础课</v>
      </c>
      <c r="E207" s="3" t="str">
        <f>"王湛"</f>
        <v>王湛</v>
      </c>
      <c r="F207" s="3" t="str">
        <f>"许辰迪"</f>
        <v>许辰迪</v>
      </c>
      <c r="G207" s="3" t="str">
        <f>"119020201003"</f>
        <v>119020201003</v>
      </c>
    </row>
    <row r="208" spans="1:7" ht="21" customHeight="1" x14ac:dyDescent="0.25">
      <c r="A208" s="2">
        <v>206</v>
      </c>
      <c r="B208" s="1" t="str">
        <f>"经济学院"</f>
        <v>经济学院</v>
      </c>
      <c r="C208" s="3" t="str">
        <f>"政治经济学"</f>
        <v>政治经济学</v>
      </c>
      <c r="D208" s="3" t="str">
        <f>"大学科基础课"</f>
        <v>大学科基础课</v>
      </c>
      <c r="E208" s="3" t="str">
        <f>"陈姝兴"</f>
        <v>陈姝兴</v>
      </c>
      <c r="F208" s="3" t="str">
        <f>"张鑫梅"</f>
        <v>张鑫梅</v>
      </c>
      <c r="G208" s="3" t="str">
        <f>"220020101006"</f>
        <v>220020101006</v>
      </c>
    </row>
    <row r="209" spans="1:7" ht="21" customHeight="1" x14ac:dyDescent="0.25">
      <c r="A209" s="2">
        <v>207</v>
      </c>
      <c r="B209" s="1" t="str">
        <f>"经济学院"</f>
        <v>经济学院</v>
      </c>
      <c r="C209" s="3" t="str">
        <f>"宏观经济学"</f>
        <v>宏观经济学</v>
      </c>
      <c r="D209" s="3" t="str">
        <f>"大学科基础课"</f>
        <v>大学科基础课</v>
      </c>
      <c r="E209" s="3" t="str">
        <f>"陈晓玲"</f>
        <v>陈晓玲</v>
      </c>
      <c r="F209" s="3" t="str">
        <f>"谢雨心"</f>
        <v>谢雨心</v>
      </c>
      <c r="G209" s="3" t="str">
        <f>"119020105001"</f>
        <v>119020105001</v>
      </c>
    </row>
    <row r="210" spans="1:7" ht="21" customHeight="1" x14ac:dyDescent="0.25">
      <c r="A210" s="2">
        <v>208</v>
      </c>
      <c r="B210" s="1" t="str">
        <f>"经济学院"</f>
        <v>经济学院</v>
      </c>
      <c r="C210" s="3" t="str">
        <f>"政治经济学"</f>
        <v>政治经济学</v>
      </c>
      <c r="D210" s="3" t="str">
        <f>"大学科基础课"</f>
        <v>大学科基础课</v>
      </c>
      <c r="E210" s="3" t="str">
        <f>"姚常成"</f>
        <v>姚常成</v>
      </c>
      <c r="F210" s="3" t="str">
        <f>"李孟杰"</f>
        <v>李孟杰</v>
      </c>
      <c r="G210" s="3" t="str">
        <f>"120020101002"</f>
        <v>120020101002</v>
      </c>
    </row>
    <row r="211" spans="1:7" ht="21" customHeight="1" x14ac:dyDescent="0.25">
      <c r="A211" s="2">
        <v>209</v>
      </c>
      <c r="B211" s="1" t="str">
        <f>"经济学院"</f>
        <v>经济学院</v>
      </c>
      <c r="C211" s="3" t="str">
        <f>"政治经济学"</f>
        <v>政治经济学</v>
      </c>
      <c r="D211" s="3" t="str">
        <f>"大学科基础课"</f>
        <v>大学科基础课</v>
      </c>
      <c r="E211" s="3" t="str">
        <f>"冯鹏程"</f>
        <v>冯鹏程</v>
      </c>
      <c r="F211" s="3" t="str">
        <f>"朱杰"</f>
        <v>朱杰</v>
      </c>
      <c r="G211" s="3" t="str">
        <f>"119020101003"</f>
        <v>119020101003</v>
      </c>
    </row>
    <row r="212" spans="1:7" ht="21" customHeight="1" x14ac:dyDescent="0.25">
      <c r="A212" s="2">
        <v>210</v>
      </c>
      <c r="B212" s="1" t="str">
        <f>"经济与管理研究院"</f>
        <v>经济与管理研究院</v>
      </c>
      <c r="C212" s="3" t="str">
        <f>"经济与管理学科前沿介绍（英）"</f>
        <v>经济与管理学科前沿介绍（英）</v>
      </c>
      <c r="D212" s="3" t="str">
        <f>"专业必修课"</f>
        <v>专业必修课</v>
      </c>
      <c r="E212" s="3" t="str">
        <f>"叶菁菁"</f>
        <v>叶菁菁</v>
      </c>
      <c r="F212" s="3" t="str">
        <f>"余白雪"</f>
        <v>余白雪</v>
      </c>
      <c r="G212" s="3" t="str">
        <f>"118020104014"</f>
        <v>118020104014</v>
      </c>
    </row>
    <row r="213" spans="1:7" ht="21" customHeight="1" x14ac:dyDescent="0.25">
      <c r="A213" s="2">
        <v>211</v>
      </c>
      <c r="B213" s="1" t="str">
        <f>"马克思主义学院"</f>
        <v>马克思主义学院</v>
      </c>
      <c r="C213" s="3" t="str">
        <f>"马克思主义基本原理"</f>
        <v>马克思主义基本原理</v>
      </c>
      <c r="D213" s="3" t="str">
        <f>"通识基础课"</f>
        <v>通识基础课</v>
      </c>
      <c r="E213" s="3" t="str">
        <f>"吴玉平"</f>
        <v>吴玉平</v>
      </c>
      <c r="F213" s="3" t="str">
        <f>"陈桂芳"</f>
        <v>陈桂芳</v>
      </c>
      <c r="G213" s="3" t="str">
        <f>"219030501009"</f>
        <v>219030501009</v>
      </c>
    </row>
    <row r="214" spans="1:7" ht="21" customHeight="1" x14ac:dyDescent="0.25">
      <c r="A214" s="2">
        <v>212</v>
      </c>
      <c r="B214" s="1" t="str">
        <f>"马克思主义学院"</f>
        <v>马克思主义学院</v>
      </c>
      <c r="C214" s="3" t="str">
        <f>"中国近现代史纲要"</f>
        <v>中国近现代史纲要</v>
      </c>
      <c r="D214" s="3" t="str">
        <f>"通识基础课"</f>
        <v>通识基础课</v>
      </c>
      <c r="E214" s="3" t="str">
        <f>"袁上"</f>
        <v>袁上</v>
      </c>
      <c r="F214" s="3" t="str">
        <f>"曾梓钰"</f>
        <v>曾梓钰</v>
      </c>
      <c r="G214" s="3" t="str">
        <f>"219030503005"</f>
        <v>219030503005</v>
      </c>
    </row>
    <row r="215" spans="1:7" ht="21" customHeight="1" x14ac:dyDescent="0.25">
      <c r="A215" s="2">
        <v>213</v>
      </c>
      <c r="B215" s="1" t="str">
        <f>"马克思主义学院"</f>
        <v>马克思主义学院</v>
      </c>
      <c r="C215" s="3" t="str">
        <f>"习近平新时代中国特色社会主义思想概论"</f>
        <v>习近平新时代中国特色社会主义思想概论</v>
      </c>
      <c r="D215" s="3" t="str">
        <f>"通识基础课"</f>
        <v>通识基础课</v>
      </c>
      <c r="E215" s="3" t="str">
        <f>"于小杏"</f>
        <v>于小杏</v>
      </c>
      <c r="F215" s="3" t="str">
        <f>"钟守静"</f>
        <v>钟守静</v>
      </c>
      <c r="G215" s="3" t="str">
        <f>"220030505006"</f>
        <v>220030505006</v>
      </c>
    </row>
    <row r="216" spans="1:7" ht="21" customHeight="1" x14ac:dyDescent="0.25">
      <c r="A216" s="2">
        <v>214</v>
      </c>
      <c r="B216" s="1" t="str">
        <f>"马克思主义学院"</f>
        <v>马克思主义学院</v>
      </c>
      <c r="C216" s="3" t="str">
        <f>"中国近现代史纲要"</f>
        <v>中国近现代史纲要</v>
      </c>
      <c r="D216" s="3" t="str">
        <f>"通识基础课"</f>
        <v>通识基础课</v>
      </c>
      <c r="E216" s="3" t="str">
        <f>"贾国雄"</f>
        <v>贾国雄</v>
      </c>
      <c r="F216" s="3" t="str">
        <f>"乔夏婉"</f>
        <v>乔夏婉</v>
      </c>
      <c r="G216" s="3" t="str">
        <f>"219030505001"</f>
        <v>219030505001</v>
      </c>
    </row>
    <row r="217" spans="1:7" ht="21" customHeight="1" x14ac:dyDescent="0.25">
      <c r="A217" s="2">
        <v>215</v>
      </c>
      <c r="B217" s="1" t="str">
        <f>"统计学院"</f>
        <v>统计学院</v>
      </c>
      <c r="C217" s="3" t="str">
        <f>"统计学"</f>
        <v>统计学</v>
      </c>
      <c r="D217" s="3" t="str">
        <f>"大学科基础课"</f>
        <v>大学科基础课</v>
      </c>
      <c r="E217" s="3" t="str">
        <f>"苏远琳"</f>
        <v>苏远琳</v>
      </c>
      <c r="F217" s="3" t="str">
        <f>"廖健伶"</f>
        <v>廖健伶</v>
      </c>
      <c r="G217" s="3" t="str">
        <f>"120020104002"</f>
        <v>120020104002</v>
      </c>
    </row>
    <row r="218" spans="1:7" ht="21" customHeight="1" x14ac:dyDescent="0.25">
      <c r="A218" s="2">
        <v>216</v>
      </c>
      <c r="B218" s="1" t="str">
        <f>"统计学院"</f>
        <v>统计学院</v>
      </c>
      <c r="C218" s="3" t="str">
        <f>"计量经济学"</f>
        <v>计量经济学</v>
      </c>
      <c r="D218" s="3" t="str">
        <f>"大学科基础课"</f>
        <v>大学科基础课</v>
      </c>
      <c r="E218" s="3" t="str">
        <f>"刘田"</f>
        <v>刘田</v>
      </c>
      <c r="F218" s="3" t="str">
        <f>"李思静"</f>
        <v>李思静</v>
      </c>
      <c r="G218" s="3" t="str">
        <f>"219020204076"</f>
        <v>219020204076</v>
      </c>
    </row>
    <row r="219" spans="1:7" ht="21" customHeight="1" x14ac:dyDescent="0.25">
      <c r="A219" s="2">
        <v>217</v>
      </c>
      <c r="B219" s="1" t="str">
        <f>"统计学院"</f>
        <v>统计学院</v>
      </c>
      <c r="C219" s="3" t="str">
        <f>"计量经济学"</f>
        <v>计量经济学</v>
      </c>
      <c r="D219" s="3" t="str">
        <f>"专业必修课"</f>
        <v>专业必修课</v>
      </c>
      <c r="E219" s="3" t="str">
        <f>"任栋"</f>
        <v>任栋</v>
      </c>
      <c r="F219" s="3" t="str">
        <f>"黄鑫华"</f>
        <v>黄鑫华</v>
      </c>
      <c r="G219" s="3" t="str">
        <f>"220071400018"</f>
        <v>220071400018</v>
      </c>
    </row>
    <row r="220" spans="1:7" ht="21" customHeight="1" x14ac:dyDescent="0.25">
      <c r="A220" s="2">
        <v>218</v>
      </c>
      <c r="B220" s="1" t="str">
        <f>"统计学院"</f>
        <v>统计学院</v>
      </c>
      <c r="C220" s="3" t="str">
        <f>"统计学MOOC"</f>
        <v>统计学MOOC</v>
      </c>
      <c r="D220" s="3" t="str">
        <f>"慕课"</f>
        <v>慕课</v>
      </c>
      <c r="E220" s="3" t="str">
        <f>"夏怡凡"</f>
        <v>夏怡凡</v>
      </c>
      <c r="F220" s="3" t="str">
        <f>"何微"</f>
        <v>何微</v>
      </c>
      <c r="G220" s="3" t="str">
        <f>"220120100006"</f>
        <v>220120100006</v>
      </c>
    </row>
    <row r="221" spans="1:7" ht="21" customHeight="1" x14ac:dyDescent="0.25">
      <c r="A221" s="2">
        <v>219</v>
      </c>
      <c r="B221" s="1" t="str">
        <f>"统计学院"</f>
        <v>统计学院</v>
      </c>
      <c r="C221" s="3" t="str">
        <f>"统计学"</f>
        <v>统计学</v>
      </c>
      <c r="D221" s="3" t="str">
        <f>"大学科基础课"</f>
        <v>大学科基础课</v>
      </c>
      <c r="E221" s="3" t="str">
        <f>"王青华"</f>
        <v>王青华</v>
      </c>
      <c r="F221" s="3" t="str">
        <f>"杨曼路"</f>
        <v>杨曼路</v>
      </c>
      <c r="G221" s="3" t="str">
        <f>"219020204118"</f>
        <v>219020204118</v>
      </c>
    </row>
    <row r="222" spans="1:7" ht="21" customHeight="1" x14ac:dyDescent="0.25">
      <c r="A222" s="2">
        <v>220</v>
      </c>
      <c r="B222" s="1" t="str">
        <f>"统计学院"</f>
        <v>统计学院</v>
      </c>
      <c r="C222" s="3" t="str">
        <f>"计量经济学"</f>
        <v>计量经济学</v>
      </c>
      <c r="D222" s="3" t="str">
        <f>"大学科基础课"</f>
        <v>大学科基础课</v>
      </c>
      <c r="E222" s="3" t="str">
        <f>"张华节"</f>
        <v>张华节</v>
      </c>
      <c r="F222" s="3" t="str">
        <f>"陈淑仪"</f>
        <v>陈淑仪</v>
      </c>
      <c r="G222" s="3" t="str">
        <f>"220020209011"</f>
        <v>220020209011</v>
      </c>
    </row>
    <row r="223" spans="1:7" ht="21" customHeight="1" x14ac:dyDescent="0.25">
      <c r="A223" s="2">
        <v>221</v>
      </c>
      <c r="B223" s="1" t="str">
        <f>"统计学院"</f>
        <v>统计学院</v>
      </c>
      <c r="C223" s="3" t="str">
        <f>"计量经济学"</f>
        <v>计量经济学</v>
      </c>
      <c r="D223" s="3" t="str">
        <f>"专业方向课"</f>
        <v>专业方向课</v>
      </c>
      <c r="E223" s="3" t="str">
        <f>"范国斌"</f>
        <v>范国斌</v>
      </c>
      <c r="F223" s="3" t="str">
        <f>"牟征程"</f>
        <v>牟征程</v>
      </c>
      <c r="G223" s="3" t="str">
        <f>"220020208006"</f>
        <v>220020208006</v>
      </c>
    </row>
    <row r="224" spans="1:7" ht="21" customHeight="1" x14ac:dyDescent="0.25">
      <c r="A224" s="2">
        <v>222</v>
      </c>
      <c r="B224" s="1" t="str">
        <f>"统计学院"</f>
        <v>统计学院</v>
      </c>
      <c r="C224" s="3" t="str">
        <f>"统计学"</f>
        <v>统计学</v>
      </c>
      <c r="D224" s="3" t="str">
        <f>"大学科基础课"</f>
        <v>大学科基础课</v>
      </c>
      <c r="E224" s="3" t="str">
        <f>"彭刚"</f>
        <v>彭刚</v>
      </c>
      <c r="F224" s="3" t="str">
        <f>"彭肖肖"</f>
        <v>彭肖肖</v>
      </c>
      <c r="G224" s="3" t="str">
        <f>"120020208004"</f>
        <v>120020208004</v>
      </c>
    </row>
    <row r="225" spans="1:7" ht="21" customHeight="1" x14ac:dyDescent="0.25">
      <c r="A225" s="2">
        <v>223</v>
      </c>
      <c r="B225" s="1" t="str">
        <f>"统计学院"</f>
        <v>统计学院</v>
      </c>
      <c r="C225" s="3" t="str">
        <f>"计量经济学"</f>
        <v>计量经济学</v>
      </c>
      <c r="D225" s="3" t="str">
        <f>"专业方向课"</f>
        <v>专业方向课</v>
      </c>
      <c r="E225" s="3" t="str">
        <f>"杨冬"</f>
        <v>杨冬</v>
      </c>
      <c r="F225" s="3" t="str">
        <f>"黄小燕"</f>
        <v>黄小燕</v>
      </c>
      <c r="G225" s="3" t="str">
        <f>"220020209024"</f>
        <v>220020209024</v>
      </c>
    </row>
    <row r="226" spans="1:7" ht="21" customHeight="1" x14ac:dyDescent="0.25">
      <c r="A226" s="2">
        <v>224</v>
      </c>
      <c r="B226" s="1" t="str">
        <f>"统计学院"</f>
        <v>统计学院</v>
      </c>
      <c r="C226" s="3" t="str">
        <f>"计量经济学"</f>
        <v>计量经济学</v>
      </c>
      <c r="D226" s="3" t="str">
        <f>"大学科基础课"</f>
        <v>大学科基础课</v>
      </c>
      <c r="E226" s="3" t="str">
        <f>"陈娟"</f>
        <v>陈娟</v>
      </c>
      <c r="F226" s="3" t="str">
        <f>"张军"</f>
        <v>张军</v>
      </c>
      <c r="G226" s="3" t="str">
        <f>"2190202J8012"</f>
        <v>2190202J8012</v>
      </c>
    </row>
    <row r="227" spans="1:7" ht="21" customHeight="1" x14ac:dyDescent="0.25">
      <c r="A227" s="2">
        <v>225</v>
      </c>
      <c r="B227" s="1" t="str">
        <f>"统计学院"</f>
        <v>统计学院</v>
      </c>
      <c r="C227" s="3" t="str">
        <f>"计量经济学"</f>
        <v>计量经济学</v>
      </c>
      <c r="D227" s="3" t="str">
        <f>"专业方向课"</f>
        <v>专业方向课</v>
      </c>
      <c r="E227" s="3" t="str">
        <f>"杨冬"</f>
        <v>杨冬</v>
      </c>
      <c r="F227" s="3" t="str">
        <f>"陈莉"</f>
        <v>陈莉</v>
      </c>
      <c r="G227" s="3" t="str">
        <f>"220020209025"</f>
        <v>220020209025</v>
      </c>
    </row>
    <row r="228" spans="1:7" ht="21" customHeight="1" x14ac:dyDescent="0.25">
      <c r="A228" s="2">
        <v>226</v>
      </c>
      <c r="B228" s="1" t="str">
        <f>"统计学院"</f>
        <v>统计学院</v>
      </c>
      <c r="C228" s="3" t="str">
        <f>"统计学"</f>
        <v>统计学</v>
      </c>
      <c r="D228" s="3" t="str">
        <f>"大学科基础课"</f>
        <v>大学科基础课</v>
      </c>
      <c r="E228" s="3" t="str">
        <f>"黎春"</f>
        <v>黎春</v>
      </c>
      <c r="F228" s="3" t="str">
        <f>"王晓春"</f>
        <v>王晓春</v>
      </c>
      <c r="G228" s="3" t="str">
        <f>"219020208005"</f>
        <v>219020208005</v>
      </c>
    </row>
    <row r="229" spans="1:7" ht="21" customHeight="1" x14ac:dyDescent="0.25">
      <c r="A229" s="2">
        <v>227</v>
      </c>
      <c r="B229" s="1" t="str">
        <f>"统计学院"</f>
        <v>统计学院</v>
      </c>
      <c r="C229" s="3" t="str">
        <f>"统计学"</f>
        <v>统计学</v>
      </c>
      <c r="D229" s="3" t="str">
        <f>"大学科基础课"</f>
        <v>大学科基础课</v>
      </c>
      <c r="E229" s="3" t="str">
        <f>"陈丹丹"</f>
        <v>陈丹丹</v>
      </c>
      <c r="F229" s="3" t="str">
        <f>"姜莹花"</f>
        <v>姜莹花</v>
      </c>
      <c r="G229" s="3" t="str">
        <f>"220020208016"</f>
        <v>220020208016</v>
      </c>
    </row>
    <row r="230" spans="1:7" ht="21" customHeight="1" x14ac:dyDescent="0.25">
      <c r="A230" s="2">
        <v>228</v>
      </c>
      <c r="B230" s="1" t="str">
        <f>"统计学院"</f>
        <v>统计学院</v>
      </c>
      <c r="C230" s="3" t="str">
        <f>"计量经济学"</f>
        <v>计量经济学</v>
      </c>
      <c r="D230" s="3" t="str">
        <f>"专业方向课"</f>
        <v>专业方向课</v>
      </c>
      <c r="E230" s="3" t="str">
        <f>"孙秀丽"</f>
        <v>孙秀丽</v>
      </c>
      <c r="F230" s="3" t="str">
        <f>"宋宇"</f>
        <v>宋宇</v>
      </c>
      <c r="G230" s="3" t="str">
        <f>"120020209003"</f>
        <v>120020209003</v>
      </c>
    </row>
    <row r="231" spans="1:7" ht="21" customHeight="1" x14ac:dyDescent="0.25">
      <c r="A231" s="2">
        <v>229</v>
      </c>
      <c r="B231" s="1" t="str">
        <f>"统计学院"</f>
        <v>统计学院</v>
      </c>
      <c r="C231" s="3" t="str">
        <f>"统计学"</f>
        <v>统计学</v>
      </c>
      <c r="D231" s="3" t="str">
        <f>"大学科基础课"</f>
        <v>大学科基础课</v>
      </c>
      <c r="E231" s="3" t="str">
        <f>"王青华"</f>
        <v>王青华</v>
      </c>
      <c r="F231" s="3" t="str">
        <f>"王思宇"</f>
        <v>王思宇</v>
      </c>
      <c r="G231" s="3" t="str">
        <f>"1181202Z3001"</f>
        <v>1181202Z3001</v>
      </c>
    </row>
    <row r="232" spans="1:7" ht="21" customHeight="1" x14ac:dyDescent="0.25">
      <c r="A232" s="2">
        <v>230</v>
      </c>
      <c r="B232" s="1" t="str">
        <f>"统计学院"</f>
        <v>统计学院</v>
      </c>
      <c r="C232" s="3" t="str">
        <f>"计量经济学"</f>
        <v>计量经济学</v>
      </c>
      <c r="D232" s="3" t="str">
        <f>"大学科基础课"</f>
        <v>大学科基础课</v>
      </c>
      <c r="E232" s="3" t="str">
        <f>"张卫东"</f>
        <v>张卫东</v>
      </c>
      <c r="F232" s="3" t="str">
        <f>"曾筱雅"</f>
        <v>曾筱雅</v>
      </c>
      <c r="G232" s="3" t="str">
        <f>"220020209012"</f>
        <v>220020209012</v>
      </c>
    </row>
    <row r="233" spans="1:7" ht="21" customHeight="1" x14ac:dyDescent="0.25">
      <c r="A233" s="2">
        <v>231</v>
      </c>
      <c r="B233" s="1" t="str">
        <f>"统计学院"</f>
        <v>统计学院</v>
      </c>
      <c r="C233" s="3" t="str">
        <f>"计量经济学"</f>
        <v>计量经济学</v>
      </c>
      <c r="D233" s="3" t="str">
        <f>"大学科基础课"</f>
        <v>大学科基础课</v>
      </c>
      <c r="E233" s="3" t="str">
        <f>"张华节"</f>
        <v>张华节</v>
      </c>
      <c r="F233" s="3" t="str">
        <f>"黄碧莹"</f>
        <v>黄碧莹</v>
      </c>
      <c r="G233" s="3" t="str">
        <f>"220020209001"</f>
        <v>220020209001</v>
      </c>
    </row>
    <row r="234" spans="1:7" ht="21" customHeight="1" x14ac:dyDescent="0.25">
      <c r="A234" s="2">
        <v>232</v>
      </c>
      <c r="B234" s="1" t="str">
        <f>"统计学院"</f>
        <v>统计学院</v>
      </c>
      <c r="C234" s="3" t="str">
        <f>"概率论（理科）"</f>
        <v>概率论（理科）</v>
      </c>
      <c r="D234" s="3" t="str">
        <f>"通识基础课"</f>
        <v>通识基础课</v>
      </c>
      <c r="E234" s="3" t="str">
        <f>"马铁丰"</f>
        <v>马铁丰</v>
      </c>
      <c r="F234" s="3" t="str">
        <f>"曹端启"</f>
        <v>曹端启</v>
      </c>
      <c r="G234" s="3" t="str">
        <f>"220071400008"</f>
        <v>220071400008</v>
      </c>
    </row>
    <row r="235" spans="1:7" ht="21" customHeight="1" x14ac:dyDescent="0.25">
      <c r="A235" s="2">
        <v>233</v>
      </c>
      <c r="B235" s="1" t="str">
        <f>"统计学院"</f>
        <v>统计学院</v>
      </c>
      <c r="C235" s="3" t="str">
        <f>"统计学"</f>
        <v>统计学</v>
      </c>
      <c r="D235" s="3" t="str">
        <f>"大学科基础课"</f>
        <v>大学科基础课</v>
      </c>
      <c r="E235" s="3" t="str">
        <f>"张红历"</f>
        <v>张红历</v>
      </c>
      <c r="F235" s="3" t="str">
        <f>"杨麟"</f>
        <v>杨麟</v>
      </c>
      <c r="G235" s="3" t="str">
        <f>"120071400006"</f>
        <v>120071400006</v>
      </c>
    </row>
    <row r="236" spans="1:7" ht="21" customHeight="1" x14ac:dyDescent="0.25">
      <c r="A236" s="2">
        <v>234</v>
      </c>
      <c r="B236" s="1" t="str">
        <f>"统计学院"</f>
        <v>统计学院</v>
      </c>
      <c r="C236" s="3" t="str">
        <f>"计量经济学"</f>
        <v>计量经济学</v>
      </c>
      <c r="D236" s="3" t="str">
        <f>"专业方向课"</f>
        <v>专业方向课</v>
      </c>
      <c r="E236" s="3" t="str">
        <f>"马昀蓓"</f>
        <v>马昀蓓</v>
      </c>
      <c r="F236" s="3" t="str">
        <f>"王敏"</f>
        <v>王敏</v>
      </c>
      <c r="G236" s="3" t="str">
        <f>"220020208005"</f>
        <v>220020208005</v>
      </c>
    </row>
    <row r="237" spans="1:7" ht="21" customHeight="1" x14ac:dyDescent="0.25">
      <c r="A237" s="2">
        <v>235</v>
      </c>
      <c r="B237" s="1" t="str">
        <f>"统计学院"</f>
        <v>统计学院</v>
      </c>
      <c r="C237" s="3" t="str">
        <f>"概率论原理"</f>
        <v>概率论原理</v>
      </c>
      <c r="D237" s="3" t="str">
        <f>"通识基础课"</f>
        <v>通识基础课</v>
      </c>
      <c r="E237" s="3" t="str">
        <f>"常晋源"</f>
        <v>常晋源</v>
      </c>
      <c r="F237" s="3" t="str">
        <f>"吴明聪"</f>
        <v>吴明聪</v>
      </c>
      <c r="G237" s="3" t="str">
        <f>"119071400003"</f>
        <v>119071400003</v>
      </c>
    </row>
    <row r="238" spans="1:7" ht="21" customHeight="1" x14ac:dyDescent="0.25">
      <c r="A238" s="2">
        <v>236</v>
      </c>
      <c r="B238" s="1" t="str">
        <f>"统计学院"</f>
        <v>统计学院</v>
      </c>
      <c r="C238" s="3" t="str">
        <f>"统计学"</f>
        <v>统计学</v>
      </c>
      <c r="D238" s="3" t="str">
        <f>"大学科基础课"</f>
        <v>大学科基础课</v>
      </c>
      <c r="E238" s="3" t="str">
        <f>"苏远琳"</f>
        <v>苏远琳</v>
      </c>
      <c r="F238" s="3" t="str">
        <f>"刘奇波"</f>
        <v>刘奇波</v>
      </c>
      <c r="G238" s="3" t="str">
        <f>"120020209006"</f>
        <v>120020209006</v>
      </c>
    </row>
    <row r="239" spans="1:7" ht="21" customHeight="1" x14ac:dyDescent="0.25">
      <c r="A239" s="2">
        <v>237</v>
      </c>
      <c r="B239" s="1" t="str">
        <f>"统计学院"</f>
        <v>统计学院</v>
      </c>
      <c r="C239" s="3" t="str">
        <f>"计量经济学"</f>
        <v>计量经济学</v>
      </c>
      <c r="D239" s="3" t="str">
        <f>"大学科基础课"</f>
        <v>大学科基础课</v>
      </c>
      <c r="E239" s="3" t="str">
        <f>"杨冬"</f>
        <v>杨冬</v>
      </c>
      <c r="F239" s="3" t="str">
        <f>"张皓越"</f>
        <v>张皓越</v>
      </c>
      <c r="G239" s="3" t="str">
        <f>"219020204132"</f>
        <v>219020204132</v>
      </c>
    </row>
    <row r="240" spans="1:7" ht="21" customHeight="1" x14ac:dyDescent="0.25">
      <c r="A240" s="2">
        <v>238</v>
      </c>
      <c r="B240" s="1" t="str">
        <f>"统计学院"</f>
        <v>统计学院</v>
      </c>
      <c r="C240" s="3" t="str">
        <f>"统计学"</f>
        <v>统计学</v>
      </c>
      <c r="D240" s="3" t="str">
        <f>"大学科基础课"</f>
        <v>大学科基础课</v>
      </c>
      <c r="E240" s="3" t="str">
        <f>"黎春"</f>
        <v>黎春</v>
      </c>
      <c r="F240" s="3" t="str">
        <f>"王思烨"</f>
        <v>王思烨</v>
      </c>
      <c r="G240" s="3" t="str">
        <f>"219020209022"</f>
        <v>219020209022</v>
      </c>
    </row>
    <row r="241" spans="1:7" ht="21" customHeight="1" x14ac:dyDescent="0.25">
      <c r="A241" s="2">
        <v>239</v>
      </c>
      <c r="B241" s="1" t="str">
        <f>"统计学院"</f>
        <v>统计学院</v>
      </c>
      <c r="C241" s="3" t="str">
        <f>"统计学"</f>
        <v>统计学</v>
      </c>
      <c r="D241" s="3" t="str">
        <f>"大学科基础课"</f>
        <v>大学科基础课</v>
      </c>
      <c r="E241" s="3" t="str">
        <f>"李俭富"</f>
        <v>李俭富</v>
      </c>
      <c r="F241" s="3" t="str">
        <f>"陆堇"</f>
        <v>陆堇</v>
      </c>
      <c r="G241" s="3" t="str">
        <f>"120020204006"</f>
        <v>120020204006</v>
      </c>
    </row>
    <row r="242" spans="1:7" ht="21" customHeight="1" x14ac:dyDescent="0.25">
      <c r="A242" s="2">
        <v>240</v>
      </c>
      <c r="B242" s="1" t="str">
        <f>"统计学院"</f>
        <v>统计学院</v>
      </c>
      <c r="C242" s="3" t="str">
        <f>"计量经济学"</f>
        <v>计量经济学</v>
      </c>
      <c r="D242" s="3" t="str">
        <f>"专业必修课"</f>
        <v>专业必修课</v>
      </c>
      <c r="E242" s="3" t="str">
        <f>"任栋"</f>
        <v>任栋</v>
      </c>
      <c r="F242" s="3" t="str">
        <f>"张晨琳"</f>
        <v>张晨琳</v>
      </c>
      <c r="G242" s="3" t="str">
        <f>"120071400004"</f>
        <v>120071400004</v>
      </c>
    </row>
    <row r="243" spans="1:7" ht="21" customHeight="1" x14ac:dyDescent="0.25">
      <c r="A243" s="2">
        <v>241</v>
      </c>
      <c r="B243" s="1" t="str">
        <f>"统计学院"</f>
        <v>统计学院</v>
      </c>
      <c r="C243" s="3" t="str">
        <f>"计量经济学"</f>
        <v>计量经济学</v>
      </c>
      <c r="D243" s="3" t="str">
        <f>"专业必修课"</f>
        <v>专业必修课</v>
      </c>
      <c r="E243" s="3" t="str">
        <f>"范国斌"</f>
        <v>范国斌</v>
      </c>
      <c r="F243" s="3" t="str">
        <f>"张琴"</f>
        <v>张琴</v>
      </c>
      <c r="G243" s="3" t="str">
        <f>"220020209018"</f>
        <v>220020209018</v>
      </c>
    </row>
    <row r="244" spans="1:7" ht="21" customHeight="1" x14ac:dyDescent="0.25">
      <c r="A244" s="2">
        <v>242</v>
      </c>
      <c r="B244" s="1" t="str">
        <f>"统计学院"</f>
        <v>统计学院</v>
      </c>
      <c r="C244" s="3" t="str">
        <f>"计量经济学"</f>
        <v>计量经济学</v>
      </c>
      <c r="D244" s="3" t="str">
        <f>"大学科基础课"</f>
        <v>大学科基础课</v>
      </c>
      <c r="E244" s="3" t="str">
        <f>"马昀蓓"</f>
        <v>马昀蓓</v>
      </c>
      <c r="F244" s="3" t="str">
        <f>"薛莹"</f>
        <v>薛莹</v>
      </c>
      <c r="G244" s="3" t="str">
        <f>"220020208017"</f>
        <v>220020208017</v>
      </c>
    </row>
    <row r="245" spans="1:7" ht="21" customHeight="1" x14ac:dyDescent="0.25">
      <c r="A245" s="2">
        <v>243</v>
      </c>
      <c r="B245" s="1" t="str">
        <f>"统计学院"</f>
        <v>统计学院</v>
      </c>
      <c r="C245" s="3" t="str">
        <f>"计量经济学MOOC"</f>
        <v>计量经济学MOOC</v>
      </c>
      <c r="D245" s="3" t="str">
        <f>"慕课"</f>
        <v>慕课</v>
      </c>
      <c r="E245" s="3" t="str">
        <f>"范国斌"</f>
        <v>范国斌</v>
      </c>
      <c r="F245" s="3" t="str">
        <f>"童琳"</f>
        <v>童琳</v>
      </c>
      <c r="G245" s="3" t="str">
        <f>"219020208007"</f>
        <v>219020208007</v>
      </c>
    </row>
    <row r="246" spans="1:7" ht="21" customHeight="1" x14ac:dyDescent="0.25">
      <c r="A246" s="2">
        <v>244</v>
      </c>
      <c r="B246" s="1" t="str">
        <f>"统计学院"</f>
        <v>统计学院</v>
      </c>
      <c r="C246" s="3" t="str">
        <f>"计量经济学"</f>
        <v>计量经济学</v>
      </c>
      <c r="D246" s="3" t="str">
        <f>"专业方向课"</f>
        <v>专业方向课</v>
      </c>
      <c r="E246" s="3" t="str">
        <f>"范国斌"</f>
        <v>范国斌</v>
      </c>
      <c r="F246" s="3" t="str">
        <f>"贺文静"</f>
        <v>贺文静</v>
      </c>
      <c r="G246" s="3" t="str">
        <f>"220020208022"</f>
        <v>220020208022</v>
      </c>
    </row>
    <row r="247" spans="1:7" ht="21" customHeight="1" x14ac:dyDescent="0.25">
      <c r="A247" s="2">
        <v>245</v>
      </c>
      <c r="B247" s="1" t="str">
        <f>"统计学院"</f>
        <v>统计学院</v>
      </c>
      <c r="C247" s="3" t="str">
        <f>"计量经济学"</f>
        <v>计量经济学</v>
      </c>
      <c r="D247" s="3" t="str">
        <f>"专业必修课"</f>
        <v>专业必修课</v>
      </c>
      <c r="E247" s="3" t="str">
        <f>"范国斌"</f>
        <v>范国斌</v>
      </c>
      <c r="F247" s="3" t="str">
        <f>"陈先洁"</f>
        <v>陈先洁</v>
      </c>
      <c r="G247" s="3" t="str">
        <f>"1190202Z7002"</f>
        <v>1190202Z7002</v>
      </c>
    </row>
    <row r="248" spans="1:7" ht="21" customHeight="1" x14ac:dyDescent="0.25">
      <c r="A248" s="2">
        <v>246</v>
      </c>
      <c r="B248" s="1" t="str">
        <f>"统计学院"</f>
        <v>统计学院</v>
      </c>
      <c r="C248" s="3" t="str">
        <f>"计量经济学"</f>
        <v>计量经济学</v>
      </c>
      <c r="D248" s="3" t="str">
        <f>"大学科基础课"</f>
        <v>大学科基础课</v>
      </c>
      <c r="E248" s="3" t="str">
        <f>"任栋"</f>
        <v>任栋</v>
      </c>
      <c r="F248" s="3" t="str">
        <f>"赵舒萌"</f>
        <v>赵舒萌</v>
      </c>
      <c r="G248" s="3" t="str">
        <f>"119020208003"</f>
        <v>119020208003</v>
      </c>
    </row>
    <row r="249" spans="1:7" ht="21" customHeight="1" x14ac:dyDescent="0.25">
      <c r="A249" s="2">
        <v>247</v>
      </c>
      <c r="B249" s="1" t="str">
        <f>"统计学院"</f>
        <v>统计学院</v>
      </c>
      <c r="C249" s="3" t="str">
        <f>"计量经济学"</f>
        <v>计量经济学</v>
      </c>
      <c r="D249" s="3" t="str">
        <f>"大学科基础课"</f>
        <v>大学科基础课</v>
      </c>
      <c r="E249" s="3" t="str">
        <f>"孙秀丽"</f>
        <v>孙秀丽</v>
      </c>
      <c r="F249" s="3" t="str">
        <f>"孟勇豪"</f>
        <v>孟勇豪</v>
      </c>
      <c r="G249" s="3" t="str">
        <f>"220020209023"</f>
        <v>220020209023</v>
      </c>
    </row>
    <row r="250" spans="1:7" ht="21" customHeight="1" x14ac:dyDescent="0.25">
      <c r="A250" s="2">
        <v>248</v>
      </c>
      <c r="B250" s="1" t="str">
        <f>"统计学院"</f>
        <v>统计学院</v>
      </c>
      <c r="C250" s="3" t="str">
        <f>"概率论（理科）"</f>
        <v>概率论（理科）</v>
      </c>
      <c r="D250" s="3" t="str">
        <f>"通识基础课"</f>
        <v>通识基础课</v>
      </c>
      <c r="E250" s="3" t="str">
        <f>"马铁丰"</f>
        <v>马铁丰</v>
      </c>
      <c r="F250" s="3" t="str">
        <f>"黄晓港"</f>
        <v>黄晓港</v>
      </c>
      <c r="G250" s="3" t="str">
        <f>"1200202J8001"</f>
        <v>1200202J8001</v>
      </c>
    </row>
    <row r="251" spans="1:7" ht="21" customHeight="1" x14ac:dyDescent="0.25">
      <c r="A251" s="2">
        <v>249</v>
      </c>
      <c r="B251" s="1" t="str">
        <f>"统计学院"</f>
        <v>统计学院</v>
      </c>
      <c r="C251" s="3" t="str">
        <f>"统计学"</f>
        <v>统计学</v>
      </c>
      <c r="D251" s="3" t="str">
        <f>"大学科基础课"</f>
        <v>大学科基础课</v>
      </c>
      <c r="E251" s="3" t="str">
        <f>"陈丹丹"</f>
        <v>陈丹丹</v>
      </c>
      <c r="F251" s="3" t="str">
        <f>"晋丹"</f>
        <v>晋丹</v>
      </c>
      <c r="G251" s="3" t="str">
        <f>"220025200051"</f>
        <v>220025200051</v>
      </c>
    </row>
    <row r="252" spans="1:7" ht="21" customHeight="1" x14ac:dyDescent="0.25">
      <c r="A252" s="2">
        <v>250</v>
      </c>
      <c r="B252" s="1" t="str">
        <f>"统计学院"</f>
        <v>统计学院</v>
      </c>
      <c r="C252" s="3" t="str">
        <f>"统计学"</f>
        <v>统计学</v>
      </c>
      <c r="D252" s="3" t="str">
        <f>"大学科基础课"</f>
        <v>大学科基础课</v>
      </c>
      <c r="E252" s="3" t="str">
        <f>"苏远琳"</f>
        <v>苏远琳</v>
      </c>
      <c r="F252" s="3" t="str">
        <f>"朱清"</f>
        <v>朱清</v>
      </c>
      <c r="G252" s="3" t="str">
        <f>"120020208001"</f>
        <v>120020208001</v>
      </c>
    </row>
    <row r="253" spans="1:7" ht="21" customHeight="1" x14ac:dyDescent="0.25">
      <c r="A253" s="2">
        <v>251</v>
      </c>
      <c r="B253" s="1" t="str">
        <f>"统计学院"</f>
        <v>统计学院</v>
      </c>
      <c r="C253" s="3" t="str">
        <f>"计量经济学"</f>
        <v>计量经济学</v>
      </c>
      <c r="D253" s="3" t="str">
        <f>"大学科基础课"</f>
        <v>大学科基础课</v>
      </c>
      <c r="E253" s="3" t="str">
        <f>"陈娟"</f>
        <v>陈娟</v>
      </c>
      <c r="F253" s="3" t="str">
        <f>"杨彦青"</f>
        <v>杨彦青</v>
      </c>
      <c r="G253" s="3" t="str">
        <f>"220120100007"</f>
        <v>220120100007</v>
      </c>
    </row>
    <row r="254" spans="1:7" ht="21" customHeight="1" x14ac:dyDescent="0.25">
      <c r="A254" s="2">
        <v>252</v>
      </c>
      <c r="B254" s="1" t="str">
        <f>"统计学院"</f>
        <v>统计学院</v>
      </c>
      <c r="C254" s="3" t="str">
        <f>"计量经济学"</f>
        <v>计量经济学</v>
      </c>
      <c r="D254" s="3" t="str">
        <f>"大学科基础课"</f>
        <v>大学科基础课</v>
      </c>
      <c r="E254" s="3" t="str">
        <f>"杨冬"</f>
        <v>杨冬</v>
      </c>
      <c r="F254" s="3" t="str">
        <f>"张萌"</f>
        <v>张萌</v>
      </c>
      <c r="G254" s="3" t="str">
        <f>"220020209022"</f>
        <v>220020209022</v>
      </c>
    </row>
    <row r="255" spans="1:7" ht="21" customHeight="1" x14ac:dyDescent="0.25">
      <c r="A255" s="2">
        <v>253</v>
      </c>
      <c r="B255" s="1" t="str">
        <f>"统计学院"</f>
        <v>统计学院</v>
      </c>
      <c r="C255" s="3" t="str">
        <f>"计量经济学"</f>
        <v>计量经济学</v>
      </c>
      <c r="D255" s="3" t="str">
        <f>"专业必修课"</f>
        <v>专业必修课</v>
      </c>
      <c r="E255" s="3" t="str">
        <f>"李伊"</f>
        <v>李伊</v>
      </c>
      <c r="F255" s="3" t="str">
        <f>"胡丽"</f>
        <v>胡丽</v>
      </c>
      <c r="G255" s="3" t="str">
        <f>"220020208008"</f>
        <v>220020208008</v>
      </c>
    </row>
    <row r="256" spans="1:7" ht="21" customHeight="1" x14ac:dyDescent="0.25">
      <c r="A256" s="2">
        <v>254</v>
      </c>
      <c r="B256" s="1" t="str">
        <f>"统计学院"</f>
        <v>统计学院</v>
      </c>
      <c r="C256" s="3" t="str">
        <f>"时间序列分析"</f>
        <v>时间序列分析</v>
      </c>
      <c r="D256" s="3" t="str">
        <f>"专业必修课"</f>
        <v>专业必修课</v>
      </c>
      <c r="E256" s="3" t="str">
        <f>"周凡吟"</f>
        <v>周凡吟</v>
      </c>
      <c r="F256" s="3" t="str">
        <f>"李贵珍"</f>
        <v>李贵珍</v>
      </c>
      <c r="G256" s="3" t="str">
        <f>"118020208007"</f>
        <v>118020208007</v>
      </c>
    </row>
  </sheetData>
  <autoFilter ref="A2:G2" xr:uid="{F926CC06-A558-48B7-AE30-E2DFBA313BA9}"/>
  <sortState xmlns:xlrd2="http://schemas.microsoft.com/office/spreadsheetml/2017/richdata2" ref="A3:G256">
    <sortCondition ref="B3:B256"/>
  </sortState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马逸宁</dc:creator>
  <cp:lastModifiedBy>马逸宁</cp:lastModifiedBy>
  <dcterms:created xsi:type="dcterms:W3CDTF">2015-06-05T18:19:34Z</dcterms:created>
  <dcterms:modified xsi:type="dcterms:W3CDTF">2021-07-22T02:18:10Z</dcterms:modified>
</cp:coreProperties>
</file>