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410" activeTab="0"/>
  </bookViews>
  <sheets>
    <sheet name="myexcel" sheetId="1" r:id="rId1"/>
  </sheets>
  <definedNames>
    <definedName name="_xlnm._FilterDatabase" localSheetId="0" hidden="1">'myexcel'!$A$2:$Z$251</definedName>
  </definedNames>
  <calcPr fullCalcOnLoad="1"/>
</workbook>
</file>

<file path=xl/sharedStrings.xml><?xml version="1.0" encoding="utf-8"?>
<sst xmlns="http://schemas.openxmlformats.org/spreadsheetml/2006/main" count="8" uniqueCount="8">
  <si>
    <t>序号</t>
  </si>
  <si>
    <t>开课学院</t>
  </si>
  <si>
    <t>课程名称</t>
  </si>
  <si>
    <t>课程类型</t>
  </si>
  <si>
    <t>老师姓名</t>
  </si>
  <si>
    <t>助理姓名</t>
  </si>
  <si>
    <t>助理学号</t>
  </si>
  <si>
    <t>2020-2021-1学期本科课程教学助理名单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</si>
</sst>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showGridLines="0" tabSelected="1" zoomScalePageLayoutView="0" workbookViewId="0" topLeftCell="A1">
      <selection activeCell="E44" sqref="E44"/>
    </sheetView>
  </sheetViews>
  <sheetFormatPr defaultColWidth="9.140625" defaultRowHeight="15"/>
  <cols>
    <col min="1" max="1" width="5.00390625" style="1" customWidth="1"/>
    <col min="2" max="2" width="17.28125" style="1" bestFit="1" customWidth="1"/>
    <col min="3" max="3" width="44.421875" style="1" bestFit="1" customWidth="1"/>
    <col min="4" max="6" width="13.7109375" style="1" bestFit="1" customWidth="1"/>
    <col min="7" max="7" width="13.8515625" style="1" bestFit="1" customWidth="1"/>
  </cols>
  <sheetData>
    <row r="1" spans="1:7" ht="18.75">
      <c r="A1" s="4" t="s">
        <v>7</v>
      </c>
      <c r="B1" s="4"/>
      <c r="C1" s="4"/>
      <c r="D1" s="4"/>
      <c r="E1" s="4"/>
      <c r="F1" s="4"/>
      <c r="G1" s="4"/>
    </row>
    <row r="2" spans="1:7" ht="1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" customHeight="1">
      <c r="A3" s="3">
        <v>1</v>
      </c>
      <c r="B3" s="3" t="str">
        <f>"财政税务学院"</f>
        <v>财政税务学院</v>
      </c>
      <c r="C3" s="3" t="str">
        <f>"财政学MOOC"</f>
        <v>财政学MOOC</v>
      </c>
      <c r="D3" s="3" t="str">
        <f>"慕课"</f>
        <v>慕课</v>
      </c>
      <c r="E3" s="3" t="str">
        <f>"周克清"</f>
        <v>周克清</v>
      </c>
      <c r="F3" s="3" t="str">
        <f>"杨昭"</f>
        <v>杨昭</v>
      </c>
      <c r="G3" s="3" t="str">
        <f>"117020203006"</f>
        <v>117020203006</v>
      </c>
    </row>
    <row r="4" spans="1:7" ht="15" customHeight="1">
      <c r="A4" s="3">
        <v>2</v>
      </c>
      <c r="B4" s="3" t="str">
        <f>"财政税务学院"</f>
        <v>财政税务学院</v>
      </c>
      <c r="C4" s="3" t="str">
        <f>"政府会计学MOOC"</f>
        <v>政府会计学MOOC</v>
      </c>
      <c r="D4" s="3" t="str">
        <f>"慕课"</f>
        <v>慕课</v>
      </c>
      <c r="E4" s="3" t="str">
        <f>"周克清"</f>
        <v>周克清</v>
      </c>
      <c r="F4" s="3" t="str">
        <f>"郑皓月"</f>
        <v>郑皓月</v>
      </c>
      <c r="G4" s="3" t="str">
        <f>"119020203005"</f>
        <v>119020203005</v>
      </c>
    </row>
    <row r="5" spans="1:7" ht="15" customHeight="1">
      <c r="A5" s="3">
        <v>3</v>
      </c>
      <c r="B5" s="3" t="str">
        <f>"财政税务学院"</f>
        <v>财政税务学院</v>
      </c>
      <c r="C5" s="3" t="str">
        <f>"国家税收MOOC"</f>
        <v>国家税收MOOC</v>
      </c>
      <c r="D5" s="3" t="str">
        <f>"慕课"</f>
        <v>慕课</v>
      </c>
      <c r="E5" s="3" t="str">
        <f>"郝晓薇"</f>
        <v>郝晓薇</v>
      </c>
      <c r="F5" s="3" t="str">
        <f>"赵双"</f>
        <v>赵双</v>
      </c>
      <c r="G5" s="3" t="str">
        <f>"2190202Z6027"</f>
        <v>2190202Z6027</v>
      </c>
    </row>
    <row r="6" spans="1:7" ht="15" customHeight="1">
      <c r="A6" s="3">
        <v>4</v>
      </c>
      <c r="B6" s="3" t="str">
        <f>"财政税务学院"</f>
        <v>财政税务学院</v>
      </c>
      <c r="C6" s="3" t="str">
        <f>"税收筹划"</f>
        <v>税收筹划</v>
      </c>
      <c r="D6" s="3" t="str">
        <f>"专业必修课"</f>
        <v>专业必修课</v>
      </c>
      <c r="E6" s="3" t="str">
        <f>"刘蓉"</f>
        <v>刘蓉</v>
      </c>
      <c r="F6" s="3" t="str">
        <f>"刘若水"</f>
        <v>刘若水</v>
      </c>
      <c r="G6" s="3" t="str">
        <f>"218020203014"</f>
        <v>218020203014</v>
      </c>
    </row>
    <row r="7" spans="1:7" ht="15" customHeight="1">
      <c r="A7" s="3">
        <v>5</v>
      </c>
      <c r="B7" s="3" t="str">
        <f aca="true" t="shared" si="0" ref="B7:B20">"工商管理学院"</f>
        <v>工商管理学院</v>
      </c>
      <c r="C7" s="3" t="str">
        <f>"管理学原理（英）"</f>
        <v>管理学原理（英）</v>
      </c>
      <c r="D7" s="3" t="str">
        <f>"大学科基础课"</f>
        <v>大学科基础课</v>
      </c>
      <c r="E7" s="3" t="str">
        <f>"唐明凤"</f>
        <v>唐明凤</v>
      </c>
      <c r="F7" s="3" t="str">
        <f>"陈燕瑜"</f>
        <v>陈燕瑜</v>
      </c>
      <c r="G7" s="3" t="str">
        <f>"219120202017"</f>
        <v>219120202017</v>
      </c>
    </row>
    <row r="8" spans="1:7" ht="15" customHeight="1">
      <c r="A8" s="3">
        <v>6</v>
      </c>
      <c r="B8" s="3" t="str">
        <f t="shared" si="0"/>
        <v>工商管理学院</v>
      </c>
      <c r="C8" s="3" t="str">
        <f>"管理学原理（英）"</f>
        <v>管理学原理（英）</v>
      </c>
      <c r="D8" s="3" t="str">
        <f>"大学科基础课"</f>
        <v>大学科基础课</v>
      </c>
      <c r="E8" s="3" t="str">
        <f>"唐明凤"</f>
        <v>唐明凤</v>
      </c>
      <c r="F8" s="3" t="str">
        <f>"王瑞"</f>
        <v>王瑞</v>
      </c>
      <c r="G8" s="3" t="str">
        <f>"1181201Z5010"</f>
        <v>1181201Z5010</v>
      </c>
    </row>
    <row r="9" spans="1:7" ht="15" customHeight="1">
      <c r="A9" s="3">
        <v>7</v>
      </c>
      <c r="B9" s="3" t="str">
        <f t="shared" si="0"/>
        <v>工商管理学院</v>
      </c>
      <c r="C9" s="3" t="str">
        <f>"管理学原理"</f>
        <v>管理学原理</v>
      </c>
      <c r="D9" s="3" t="str">
        <f>"大学科基础课"</f>
        <v>大学科基础课</v>
      </c>
      <c r="E9" s="3" t="str">
        <f>"李文勇"</f>
        <v>李文勇</v>
      </c>
      <c r="F9" s="3" t="str">
        <f>"黄诗云"</f>
        <v>黄诗云</v>
      </c>
      <c r="G9" s="3" t="str">
        <f>"218120203005"</f>
        <v>218120203005</v>
      </c>
    </row>
    <row r="10" spans="1:7" ht="15" customHeight="1">
      <c r="A10" s="3">
        <v>8</v>
      </c>
      <c r="B10" s="3" t="str">
        <f t="shared" si="0"/>
        <v>工商管理学院</v>
      </c>
      <c r="C10" s="3" t="str">
        <f>"管理学原理"</f>
        <v>管理学原理</v>
      </c>
      <c r="D10" s="3" t="str">
        <f>"大学科基础课"</f>
        <v>大学科基础课</v>
      </c>
      <c r="E10" s="3" t="str">
        <f>"刘畅"</f>
        <v>刘畅</v>
      </c>
      <c r="F10" s="3" t="str">
        <f>"虎连锋"</f>
        <v>虎连锋</v>
      </c>
      <c r="G10" s="3" t="str">
        <f>"219020205003"</f>
        <v>219020205003</v>
      </c>
    </row>
    <row r="11" spans="1:7" ht="15" customHeight="1">
      <c r="A11" s="3">
        <v>9</v>
      </c>
      <c r="B11" s="3" t="str">
        <f t="shared" si="0"/>
        <v>工商管理学院</v>
      </c>
      <c r="C11" s="3" t="str">
        <f>"创业管理MOOC"</f>
        <v>创业管理MOOC</v>
      </c>
      <c r="D11" s="3" t="str">
        <f>"慕课"</f>
        <v>慕课</v>
      </c>
      <c r="E11" s="3" t="str">
        <f>"徐宏玲"</f>
        <v>徐宏玲</v>
      </c>
      <c r="F11" s="3" t="str">
        <f>"周欣"</f>
        <v>周欣</v>
      </c>
      <c r="G11" s="3" t="str">
        <f>"218030503008"</f>
        <v>218030503008</v>
      </c>
    </row>
    <row r="12" spans="1:7" ht="15" customHeight="1">
      <c r="A12" s="3">
        <v>10</v>
      </c>
      <c r="B12" s="3" t="str">
        <f t="shared" si="0"/>
        <v>工商管理学院</v>
      </c>
      <c r="C12" s="3" t="str">
        <f>"管理学原理"</f>
        <v>管理学原理</v>
      </c>
      <c r="D12" s="3" t="str">
        <f>"大学科基础课"</f>
        <v>大学科基础课</v>
      </c>
      <c r="E12" s="3" t="str">
        <f>"王玉梅"</f>
        <v>王玉梅</v>
      </c>
      <c r="F12" s="3" t="str">
        <f>"穆鑫岩"</f>
        <v>穆鑫岩</v>
      </c>
      <c r="G12" s="3" t="str">
        <f>"1191202Z2001"</f>
        <v>1191202Z2001</v>
      </c>
    </row>
    <row r="13" spans="1:7" ht="15" customHeight="1">
      <c r="A13" s="3">
        <v>11</v>
      </c>
      <c r="B13" s="3" t="str">
        <f t="shared" si="0"/>
        <v>工商管理学院</v>
      </c>
      <c r="C13" s="3" t="str">
        <f>"管理学原理"</f>
        <v>管理学原理</v>
      </c>
      <c r="D13" s="3" t="str">
        <f>"大学科基础课"</f>
        <v>大学科基础课</v>
      </c>
      <c r="E13" s="3" t="str">
        <f>"王玉梅"</f>
        <v>王玉梅</v>
      </c>
      <c r="F13" s="3" t="str">
        <f>"林琪"</f>
        <v>林琪</v>
      </c>
      <c r="G13" s="3" t="str">
        <f>"2191201Z5024"</f>
        <v>2191201Z5024</v>
      </c>
    </row>
    <row r="14" spans="1:7" ht="15" customHeight="1">
      <c r="A14" s="3">
        <v>12</v>
      </c>
      <c r="B14" s="3" t="str">
        <f t="shared" si="0"/>
        <v>工商管理学院</v>
      </c>
      <c r="C14" s="3" t="str">
        <f>"管理学原理"</f>
        <v>管理学原理</v>
      </c>
      <c r="D14" s="3" t="str">
        <f>"大学科基础课"</f>
        <v>大学科基础课</v>
      </c>
      <c r="E14" s="3" t="str">
        <f>"高莉芳"</f>
        <v>高莉芳</v>
      </c>
      <c r="F14" s="3" t="str">
        <f>"龚潇潇"</f>
        <v>龚潇潇</v>
      </c>
      <c r="G14" s="3" t="str">
        <f>"117120299004"</f>
        <v>117120299004</v>
      </c>
    </row>
    <row r="15" spans="1:7" ht="15" customHeight="1">
      <c r="A15" s="3">
        <v>13</v>
      </c>
      <c r="B15" s="3" t="str">
        <f t="shared" si="0"/>
        <v>工商管理学院</v>
      </c>
      <c r="C15" s="3" t="str">
        <f>"绩效与薪酬管理MOOC"</f>
        <v>绩效与薪酬管理MOOC</v>
      </c>
      <c r="D15" s="3" t="str">
        <f>"慕课"</f>
        <v>慕课</v>
      </c>
      <c r="E15" s="3" t="str">
        <f>"郭志刚"</f>
        <v>郭志刚</v>
      </c>
      <c r="F15" s="3" t="str">
        <f>"陈健东"</f>
        <v>陈健东</v>
      </c>
      <c r="G15" s="3" t="str">
        <f>"2191202Z2002"</f>
        <v>2191202Z2002</v>
      </c>
    </row>
    <row r="16" spans="1:7" ht="15" customHeight="1">
      <c r="A16" s="3">
        <v>14</v>
      </c>
      <c r="B16" s="3" t="str">
        <f t="shared" si="0"/>
        <v>工商管理学院</v>
      </c>
      <c r="C16" s="3" t="str">
        <f>"市场营销学MOOC"</f>
        <v>市场营销学MOOC</v>
      </c>
      <c r="D16" s="3" t="str">
        <f>"慕课"</f>
        <v>慕课</v>
      </c>
      <c r="E16" s="3" t="str">
        <f>"白璇"</f>
        <v>白璇</v>
      </c>
      <c r="F16" s="3" t="str">
        <f>"杨璐"</f>
        <v>杨璐</v>
      </c>
      <c r="G16" s="3" t="str">
        <f>"2191202Z5021"</f>
        <v>2191202Z5021</v>
      </c>
    </row>
    <row r="17" spans="1:7" ht="15" customHeight="1">
      <c r="A17" s="3">
        <v>15</v>
      </c>
      <c r="B17" s="3" t="str">
        <f t="shared" si="0"/>
        <v>工商管理学院</v>
      </c>
      <c r="C17" s="3" t="str">
        <f>"市场营销学MOOC"</f>
        <v>市场营销学MOOC</v>
      </c>
      <c r="D17" s="3" t="str">
        <f>"慕课"</f>
        <v>慕课</v>
      </c>
      <c r="E17" s="3" t="str">
        <f>"白璇"</f>
        <v>白璇</v>
      </c>
      <c r="F17" s="3" t="str">
        <f>"牟春燕"</f>
        <v>牟春燕</v>
      </c>
      <c r="G17" s="3" t="str">
        <f>"2181202Z5008"</f>
        <v>2181202Z5008</v>
      </c>
    </row>
    <row r="18" spans="1:7" ht="15" customHeight="1">
      <c r="A18" s="3">
        <v>16</v>
      </c>
      <c r="B18" s="3" t="str">
        <f t="shared" si="0"/>
        <v>工商管理学院</v>
      </c>
      <c r="C18" s="3" t="str">
        <f>"管理学原理"</f>
        <v>管理学原理</v>
      </c>
      <c r="D18" s="3" t="str">
        <f>"大学科基础课"</f>
        <v>大学科基础课</v>
      </c>
      <c r="E18" s="3" t="str">
        <f>"付嵘"</f>
        <v>付嵘</v>
      </c>
      <c r="F18" s="3" t="str">
        <f>"尹文阳"</f>
        <v>尹文阳</v>
      </c>
      <c r="G18" s="3" t="str">
        <f>"219120202002"</f>
        <v>219120202002</v>
      </c>
    </row>
    <row r="19" spans="1:7" ht="15" customHeight="1">
      <c r="A19" s="3">
        <v>17</v>
      </c>
      <c r="B19" s="3" t="str">
        <f t="shared" si="0"/>
        <v>工商管理学院</v>
      </c>
      <c r="C19" s="3" t="str">
        <f>"管理学原理"</f>
        <v>管理学原理</v>
      </c>
      <c r="D19" s="3" t="str">
        <f>"大学科基础课"</f>
        <v>大学科基础课</v>
      </c>
      <c r="E19" s="3" t="str">
        <f>"付嵘"</f>
        <v>付嵘</v>
      </c>
      <c r="F19" s="3" t="str">
        <f>"李亚倩"</f>
        <v>李亚倩</v>
      </c>
      <c r="G19" s="3" t="str">
        <f>"219120202016"</f>
        <v>219120202016</v>
      </c>
    </row>
    <row r="20" spans="1:7" ht="15" customHeight="1">
      <c r="A20" s="3">
        <v>18</v>
      </c>
      <c r="B20" s="3" t="str">
        <f t="shared" si="0"/>
        <v>工商管理学院</v>
      </c>
      <c r="C20" s="3" t="str">
        <f>"互联网+服务系统设计MOOC"</f>
        <v>互联网+服务系统设计MOOC</v>
      </c>
      <c r="D20" s="3" t="str">
        <f>"慕课"</f>
        <v>慕课</v>
      </c>
      <c r="E20" s="3" t="str">
        <f>"张汉鹏"</f>
        <v>张汉鹏</v>
      </c>
      <c r="F20" s="3" t="str">
        <f>"张耀丽"</f>
        <v>张耀丽</v>
      </c>
      <c r="G20" s="3" t="str">
        <f>"2181202Z9001"</f>
        <v>2181202Z9001</v>
      </c>
    </row>
    <row r="21" spans="1:7" ht="15" customHeight="1">
      <c r="A21" s="3">
        <v>19</v>
      </c>
      <c r="B21" s="3" t="str">
        <f>"公共管理学院"</f>
        <v>公共管理学院</v>
      </c>
      <c r="C21" s="3" t="str">
        <f>"宏观经济学"</f>
        <v>宏观经济学</v>
      </c>
      <c r="D21" s="3" t="str">
        <f>"大学科基础课"</f>
        <v>大学科基础课</v>
      </c>
      <c r="E21" s="3" t="str">
        <f>"吴茵茵"</f>
        <v>吴茵茵</v>
      </c>
      <c r="F21" s="3" t="str">
        <f>"王平"</f>
        <v>王平</v>
      </c>
      <c r="G21" s="3" t="str">
        <f>"118020203006"</f>
        <v>118020203006</v>
      </c>
    </row>
    <row r="22" spans="1:7" ht="15" customHeight="1">
      <c r="A22" s="3">
        <v>20</v>
      </c>
      <c r="B22" s="3" t="str">
        <f>"公共管理学院"</f>
        <v>公共管理学院</v>
      </c>
      <c r="C22" s="3" t="str">
        <f>"宏观经济学"</f>
        <v>宏观经济学</v>
      </c>
      <c r="D22" s="3" t="str">
        <f>"大学科基础课"</f>
        <v>大学科基础课</v>
      </c>
      <c r="E22" s="3" t="str">
        <f>"黄志勇"</f>
        <v>黄志勇</v>
      </c>
      <c r="F22" s="3" t="str">
        <f>"谢巧俐"</f>
        <v>谢巧俐</v>
      </c>
      <c r="G22" s="3" t="str">
        <f>"1190202J4002"</f>
        <v>1190202J4002</v>
      </c>
    </row>
    <row r="23" spans="1:7" ht="15" customHeight="1">
      <c r="A23" s="3">
        <v>21</v>
      </c>
      <c r="B23" s="3" t="str">
        <f aca="true" t="shared" si="1" ref="B23:B44">"会计学院"</f>
        <v>会计学院</v>
      </c>
      <c r="C23" s="3" t="str">
        <f>"会计学"</f>
        <v>会计学</v>
      </c>
      <c r="D23" s="3" t="str">
        <f>"大学科基础课"</f>
        <v>大学科基础课</v>
      </c>
      <c r="E23" s="3" t="str">
        <f>"李海燕"</f>
        <v>李海燕</v>
      </c>
      <c r="F23" s="3" t="str">
        <f>"王治"</f>
        <v>王治</v>
      </c>
      <c r="G23" s="3" t="str">
        <f>"218120201043"</f>
        <v>218120201043</v>
      </c>
    </row>
    <row r="24" spans="1:7" ht="15" customHeight="1">
      <c r="A24" s="3">
        <v>22</v>
      </c>
      <c r="B24" s="3" t="str">
        <f t="shared" si="1"/>
        <v>会计学院</v>
      </c>
      <c r="C24" s="3" t="str">
        <f>"会计学"</f>
        <v>会计学</v>
      </c>
      <c r="D24" s="3" t="str">
        <f>"大学科基础课"</f>
        <v>大学科基础课</v>
      </c>
      <c r="E24" s="3" t="str">
        <f>"李海燕"</f>
        <v>李海燕</v>
      </c>
      <c r="F24" s="3" t="str">
        <f>"李闻"</f>
        <v>李闻</v>
      </c>
      <c r="G24" s="3" t="str">
        <f>"218120201039"</f>
        <v>218120201039</v>
      </c>
    </row>
    <row r="25" spans="1:7" ht="15" customHeight="1">
      <c r="A25" s="3">
        <v>23</v>
      </c>
      <c r="B25" s="3" t="str">
        <f t="shared" si="1"/>
        <v>会计学院</v>
      </c>
      <c r="C25" s="3" t="str">
        <f>"管理会计学MOOC"</f>
        <v>管理会计学MOOC</v>
      </c>
      <c r="D25" s="3" t="str">
        <f>"慕课"</f>
        <v>慕课</v>
      </c>
      <c r="E25" s="3" t="str">
        <f>"李玉周"</f>
        <v>李玉周</v>
      </c>
      <c r="F25" s="3" t="str">
        <f>"闫新月"</f>
        <v>闫新月</v>
      </c>
      <c r="G25" s="3" t="str">
        <f>"2191202Z6017"</f>
        <v>2191202Z6017</v>
      </c>
    </row>
    <row r="26" spans="1:7" ht="15" customHeight="1">
      <c r="A26" s="3">
        <v>24</v>
      </c>
      <c r="B26" s="3" t="str">
        <f t="shared" si="1"/>
        <v>会计学院</v>
      </c>
      <c r="C26" s="3" t="str">
        <f>"综合能力训练（ERP模拟经营沙盘）MOOC"</f>
        <v>综合能力训练（ERP模拟经营沙盘）MOOC</v>
      </c>
      <c r="D26" s="3" t="str">
        <f>"慕课"</f>
        <v>慕课</v>
      </c>
      <c r="E26" s="3" t="str">
        <f>"邹燕"</f>
        <v>邹燕</v>
      </c>
      <c r="F26" s="3" t="str">
        <f>"蔡东平"</f>
        <v>蔡东平</v>
      </c>
      <c r="G26" s="3" t="str">
        <f>"219120201025"</f>
        <v>219120201025</v>
      </c>
    </row>
    <row r="27" spans="1:7" ht="15" customHeight="1">
      <c r="A27" s="3">
        <v>25</v>
      </c>
      <c r="B27" s="3" t="str">
        <f t="shared" si="1"/>
        <v>会计学院</v>
      </c>
      <c r="C27" s="3" t="str">
        <f>"综合能力训练（ERP模拟经营沙盘）MOOC"</f>
        <v>综合能力训练（ERP模拟经营沙盘）MOOC</v>
      </c>
      <c r="D27" s="3" t="str">
        <f>"慕课"</f>
        <v>慕课</v>
      </c>
      <c r="E27" s="3" t="str">
        <f>"邹燕"</f>
        <v>邹燕</v>
      </c>
      <c r="F27" s="3" t="str">
        <f>"赵肖玉"</f>
        <v>赵肖玉</v>
      </c>
      <c r="G27" s="3" t="str">
        <f>"219125300250"</f>
        <v>219125300250</v>
      </c>
    </row>
    <row r="28" spans="1:7" ht="15" customHeight="1">
      <c r="A28" s="3">
        <v>26</v>
      </c>
      <c r="B28" s="3" t="str">
        <f t="shared" si="1"/>
        <v>会计学院</v>
      </c>
      <c r="C28" s="3" t="str">
        <f>"历史转折中的会计：从文艺复兴到金融危机MOOC"</f>
        <v>历史转折中的会计：从文艺复兴到金融危机MOOC</v>
      </c>
      <c r="D28" s="3" t="str">
        <f>"慕课"</f>
        <v>慕课</v>
      </c>
      <c r="E28" s="3" t="str">
        <f>"邓博夫"</f>
        <v>邓博夫</v>
      </c>
      <c r="F28" s="3" t="str">
        <f>"董雅浩"</f>
        <v>董雅浩</v>
      </c>
      <c r="G28" s="3" t="str">
        <f>"118120201006"</f>
        <v>118120201006</v>
      </c>
    </row>
    <row r="29" spans="1:7" ht="15" customHeight="1">
      <c r="A29" s="3">
        <v>27</v>
      </c>
      <c r="B29" s="3" t="str">
        <f t="shared" si="1"/>
        <v>会计学院</v>
      </c>
      <c r="C29" s="3" t="str">
        <f aca="true" t="shared" si="2" ref="C29:C35">"会计学"</f>
        <v>会计学</v>
      </c>
      <c r="D29" s="3" t="str">
        <f aca="true" t="shared" si="3" ref="D29:D35">"大学科基础课"</f>
        <v>大学科基础课</v>
      </c>
      <c r="E29" s="3" t="str">
        <f>"李朝霞"</f>
        <v>李朝霞</v>
      </c>
      <c r="F29" s="3" t="str">
        <f>"余渡"</f>
        <v>余渡</v>
      </c>
      <c r="G29" s="3" t="str">
        <f>"1161202Z6010"</f>
        <v>1161202Z6010</v>
      </c>
    </row>
    <row r="30" spans="1:7" ht="15" customHeight="1">
      <c r="A30" s="3">
        <v>28</v>
      </c>
      <c r="B30" s="3" t="str">
        <f t="shared" si="1"/>
        <v>会计学院</v>
      </c>
      <c r="C30" s="3" t="str">
        <f t="shared" si="2"/>
        <v>会计学</v>
      </c>
      <c r="D30" s="3" t="str">
        <f t="shared" si="3"/>
        <v>大学科基础课</v>
      </c>
      <c r="E30" s="3" t="str">
        <f>"李朝霞"</f>
        <v>李朝霞</v>
      </c>
      <c r="F30" s="3" t="str">
        <f>"杨晋璇"</f>
        <v>杨晋璇</v>
      </c>
      <c r="G30" s="3" t="str">
        <f>"115120201001"</f>
        <v>115120201001</v>
      </c>
    </row>
    <row r="31" spans="1:7" ht="15" customHeight="1">
      <c r="A31" s="3">
        <v>29</v>
      </c>
      <c r="B31" s="3" t="str">
        <f t="shared" si="1"/>
        <v>会计学院</v>
      </c>
      <c r="C31" s="3" t="str">
        <f t="shared" si="2"/>
        <v>会计学</v>
      </c>
      <c r="D31" s="3" t="str">
        <f t="shared" si="3"/>
        <v>大学科基础课</v>
      </c>
      <c r="E31" s="3" t="str">
        <f>"李朝霞"</f>
        <v>李朝霞</v>
      </c>
      <c r="F31" s="3" t="str">
        <f>"陈瑶"</f>
        <v>陈瑶</v>
      </c>
      <c r="G31" s="3" t="str">
        <f>"116120201008"</f>
        <v>116120201008</v>
      </c>
    </row>
    <row r="32" spans="1:7" ht="15" customHeight="1">
      <c r="A32" s="3">
        <v>30</v>
      </c>
      <c r="B32" s="3" t="str">
        <f t="shared" si="1"/>
        <v>会计学院</v>
      </c>
      <c r="C32" s="3" t="str">
        <f t="shared" si="2"/>
        <v>会计学</v>
      </c>
      <c r="D32" s="3" t="str">
        <f t="shared" si="3"/>
        <v>大学科基础课</v>
      </c>
      <c r="E32" s="3" t="str">
        <f>"郭峨"</f>
        <v>郭峨</v>
      </c>
      <c r="F32" s="3" t="str">
        <f>"陈坤"</f>
        <v>陈坤</v>
      </c>
      <c r="G32" s="3" t="str">
        <f>"118120201008"</f>
        <v>118120201008</v>
      </c>
    </row>
    <row r="33" spans="1:7" ht="15" customHeight="1">
      <c r="A33" s="3">
        <v>31</v>
      </c>
      <c r="B33" s="3" t="str">
        <f t="shared" si="1"/>
        <v>会计学院</v>
      </c>
      <c r="C33" s="3" t="str">
        <f t="shared" si="2"/>
        <v>会计学</v>
      </c>
      <c r="D33" s="3" t="str">
        <f t="shared" si="3"/>
        <v>大学科基础课</v>
      </c>
      <c r="E33" s="3" t="str">
        <f>"张力"</f>
        <v>张力</v>
      </c>
      <c r="F33" s="3" t="str">
        <f>"张翼凌"</f>
        <v>张翼凌</v>
      </c>
      <c r="G33" s="3" t="str">
        <f>"117120297001"</f>
        <v>117120297001</v>
      </c>
    </row>
    <row r="34" spans="1:7" ht="15" customHeight="1">
      <c r="A34" s="3">
        <v>32</v>
      </c>
      <c r="B34" s="3" t="str">
        <f t="shared" si="1"/>
        <v>会计学院</v>
      </c>
      <c r="C34" s="3" t="str">
        <f t="shared" si="2"/>
        <v>会计学</v>
      </c>
      <c r="D34" s="3" t="str">
        <f t="shared" si="3"/>
        <v>大学科基础课</v>
      </c>
      <c r="E34" s="3" t="str">
        <f>"易阳"</f>
        <v>易阳</v>
      </c>
      <c r="F34" s="3" t="str">
        <f>"毛谢恩"</f>
        <v>毛谢恩</v>
      </c>
      <c r="G34" s="3" t="str">
        <f>"218120201042"</f>
        <v>218120201042</v>
      </c>
    </row>
    <row r="35" spans="1:7" ht="15" customHeight="1">
      <c r="A35" s="3">
        <v>33</v>
      </c>
      <c r="B35" s="3" t="str">
        <f t="shared" si="1"/>
        <v>会计学院</v>
      </c>
      <c r="C35" s="3" t="str">
        <f t="shared" si="2"/>
        <v>会计学</v>
      </c>
      <c r="D35" s="3" t="str">
        <f t="shared" si="3"/>
        <v>大学科基础课</v>
      </c>
      <c r="E35" s="3" t="str">
        <f>"易阳"</f>
        <v>易阳</v>
      </c>
      <c r="F35" s="3" t="str">
        <f>"岳佳彬"</f>
        <v>岳佳彬</v>
      </c>
      <c r="G35" s="3" t="str">
        <f>"2191202Z6027"</f>
        <v>2191202Z6027</v>
      </c>
    </row>
    <row r="36" spans="1:7" ht="15" customHeight="1">
      <c r="A36" s="3">
        <v>34</v>
      </c>
      <c r="B36" s="3" t="str">
        <f t="shared" si="1"/>
        <v>会计学院</v>
      </c>
      <c r="C36" s="3" t="str">
        <f>"The Principle of AuditingMOOC"</f>
        <v>The Principle of AuditingMOOC</v>
      </c>
      <c r="D36" s="3" t="str">
        <f>"慕课"</f>
        <v>慕课</v>
      </c>
      <c r="E36" s="3" t="str">
        <f>"李越冬"</f>
        <v>李越冬</v>
      </c>
      <c r="F36" s="3" t="str">
        <f>"程杰"</f>
        <v>程杰</v>
      </c>
      <c r="G36" s="3" t="str">
        <f>"1191202Z6005"</f>
        <v>1191202Z6005</v>
      </c>
    </row>
    <row r="37" spans="1:7" ht="15" customHeight="1">
      <c r="A37" s="3">
        <v>35</v>
      </c>
      <c r="B37" s="3" t="str">
        <f t="shared" si="1"/>
        <v>会计学院</v>
      </c>
      <c r="C37" s="3" t="str">
        <f>"The Principle of AuditingMOOC"</f>
        <v>The Principle of AuditingMOOC</v>
      </c>
      <c r="D37" s="3" t="str">
        <f>"慕课"</f>
        <v>慕课</v>
      </c>
      <c r="E37" s="3" t="str">
        <f>"李越冬"</f>
        <v>李越冬</v>
      </c>
      <c r="F37" s="3" t="str">
        <f>"赖黎"</f>
        <v>赖黎</v>
      </c>
      <c r="G37" s="3" t="str">
        <f>"219120201013"</f>
        <v>219120201013</v>
      </c>
    </row>
    <row r="38" spans="1:7" ht="15" customHeight="1">
      <c r="A38" s="3">
        <v>36</v>
      </c>
      <c r="B38" s="3" t="str">
        <f t="shared" si="1"/>
        <v>会计学院</v>
      </c>
      <c r="C38" s="3" t="str">
        <f>"审计学MOOC"</f>
        <v>审计学MOOC</v>
      </c>
      <c r="D38" s="3" t="str">
        <f>"慕课"</f>
        <v>慕课</v>
      </c>
      <c r="E38" s="3" t="str">
        <f>"李越冬"</f>
        <v>李越冬</v>
      </c>
      <c r="F38" s="3" t="str">
        <f>"段婷婷"</f>
        <v>段婷婷</v>
      </c>
      <c r="G38" s="3" t="str">
        <f>"218120201033"</f>
        <v>218120201033</v>
      </c>
    </row>
    <row r="39" spans="1:7" ht="15" customHeight="1">
      <c r="A39" s="3">
        <v>37</v>
      </c>
      <c r="B39" s="3" t="str">
        <f t="shared" si="1"/>
        <v>会计学院</v>
      </c>
      <c r="C39" s="3" t="str">
        <f>"审计学MOOC"</f>
        <v>审计学MOOC</v>
      </c>
      <c r="D39" s="3" t="str">
        <f>"慕课"</f>
        <v>慕课</v>
      </c>
      <c r="E39" s="3" t="str">
        <f>"李越冬"</f>
        <v>李越冬</v>
      </c>
      <c r="F39" s="3" t="str">
        <f>"尹露涓"</f>
        <v>尹露涓</v>
      </c>
      <c r="G39" s="3" t="str">
        <f>"219025700004"</f>
        <v>219025700004</v>
      </c>
    </row>
    <row r="40" spans="1:7" ht="15" customHeight="1">
      <c r="A40" s="3">
        <v>38</v>
      </c>
      <c r="B40" s="3" t="str">
        <f t="shared" si="1"/>
        <v>会计学院</v>
      </c>
      <c r="C40" s="3" t="str">
        <f>"会计学"</f>
        <v>会计学</v>
      </c>
      <c r="D40" s="3" t="str">
        <f aca="true" t="shared" si="4" ref="D40:D48">"大学科基础课"</f>
        <v>大学科基础课</v>
      </c>
      <c r="E40" s="3" t="str">
        <f>"许楠"</f>
        <v>许楠</v>
      </c>
      <c r="F40" s="3" t="str">
        <f>"郝晓蓓"</f>
        <v>郝晓蓓</v>
      </c>
      <c r="G40" s="3" t="str">
        <f>"2181202Z6029"</f>
        <v>2181202Z6029</v>
      </c>
    </row>
    <row r="41" spans="1:7" ht="15" customHeight="1">
      <c r="A41" s="3">
        <v>39</v>
      </c>
      <c r="B41" s="3" t="str">
        <f t="shared" si="1"/>
        <v>会计学院</v>
      </c>
      <c r="C41" s="3" t="str">
        <f>"会计学"</f>
        <v>会计学</v>
      </c>
      <c r="D41" s="3" t="str">
        <f t="shared" si="4"/>
        <v>大学科基础课</v>
      </c>
      <c r="E41" s="3" t="str">
        <f>"许楠"</f>
        <v>许楠</v>
      </c>
      <c r="F41" s="3" t="str">
        <f>"吴君凤"</f>
        <v>吴君凤</v>
      </c>
      <c r="G41" s="3" t="str">
        <f>"1191202Z6001"</f>
        <v>1191202Z6001</v>
      </c>
    </row>
    <row r="42" spans="1:7" ht="15" customHeight="1">
      <c r="A42" s="3">
        <v>40</v>
      </c>
      <c r="B42" s="3" t="str">
        <f t="shared" si="1"/>
        <v>会计学院</v>
      </c>
      <c r="C42" s="3" t="str">
        <f>"会计学"</f>
        <v>会计学</v>
      </c>
      <c r="D42" s="3" t="str">
        <f t="shared" si="4"/>
        <v>大学科基础课</v>
      </c>
      <c r="E42" s="3" t="str">
        <f>"胡宁"</f>
        <v>胡宁</v>
      </c>
      <c r="F42" s="3" t="str">
        <f>"江沐子"</f>
        <v>江沐子</v>
      </c>
      <c r="G42" s="3" t="str">
        <f>"2181202Z6035"</f>
        <v>2181202Z6035</v>
      </c>
    </row>
    <row r="43" spans="1:7" ht="15" customHeight="1">
      <c r="A43" s="3">
        <v>41</v>
      </c>
      <c r="B43" s="3" t="str">
        <f t="shared" si="1"/>
        <v>会计学院</v>
      </c>
      <c r="C43" s="3" t="str">
        <f>"会计学"</f>
        <v>会计学</v>
      </c>
      <c r="D43" s="3" t="str">
        <f t="shared" si="4"/>
        <v>大学科基础课</v>
      </c>
      <c r="E43" s="3" t="str">
        <f>"胡宁"</f>
        <v>胡宁</v>
      </c>
      <c r="F43" s="3" t="str">
        <f>"黄婉"</f>
        <v>黄婉</v>
      </c>
      <c r="G43" s="3" t="str">
        <f>"119120201002"</f>
        <v>119120201002</v>
      </c>
    </row>
    <row r="44" spans="1:7" ht="15" customHeight="1">
      <c r="A44" s="3">
        <v>42</v>
      </c>
      <c r="B44" s="3" t="str">
        <f t="shared" si="1"/>
        <v>会计学院</v>
      </c>
      <c r="C44" s="3" t="str">
        <f>"会计学"</f>
        <v>会计学</v>
      </c>
      <c r="D44" s="3" t="str">
        <f t="shared" si="4"/>
        <v>大学科基础课</v>
      </c>
      <c r="E44" s="3" t="str">
        <f>"曹昱"</f>
        <v>曹昱</v>
      </c>
      <c r="F44" s="3" t="str">
        <f>"赵良凯"</f>
        <v>赵良凯</v>
      </c>
      <c r="G44" s="3" t="str">
        <f>"119120201005"</f>
        <v>119120201005</v>
      </c>
    </row>
    <row r="45" spans="1:7" ht="15" customHeight="1">
      <c r="A45" s="3">
        <v>43</v>
      </c>
      <c r="B45" s="3" t="str">
        <f>"金融学院"</f>
        <v>金融学院</v>
      </c>
      <c r="C45" s="3" t="str">
        <f>"货币金融学"</f>
        <v>货币金融学</v>
      </c>
      <c r="D45" s="3" t="str">
        <f t="shared" si="4"/>
        <v>大学科基础课</v>
      </c>
      <c r="E45" s="3" t="str">
        <f>"戴艳萍"</f>
        <v>戴艳萍</v>
      </c>
      <c r="F45" s="3" t="str">
        <f>"韩明明"</f>
        <v>韩明明</v>
      </c>
      <c r="G45" s="3" t="str">
        <f>"118020202002"</f>
        <v>118020202002</v>
      </c>
    </row>
    <row r="46" spans="1:7" ht="15" customHeight="1">
      <c r="A46" s="3">
        <v>44</v>
      </c>
      <c r="B46" s="3" t="str">
        <f>"金融学院"</f>
        <v>金融学院</v>
      </c>
      <c r="C46" s="3" t="str">
        <f>"货币金融学"</f>
        <v>货币金融学</v>
      </c>
      <c r="D46" s="3" t="str">
        <f t="shared" si="4"/>
        <v>大学科基础课</v>
      </c>
      <c r="E46" s="3" t="str">
        <f>"周丽晖"</f>
        <v>周丽晖</v>
      </c>
      <c r="F46" s="3" t="str">
        <f>"张佳欣"</f>
        <v>张佳欣</v>
      </c>
      <c r="G46" s="3" t="str">
        <f>"219020201006"</f>
        <v>219020201006</v>
      </c>
    </row>
    <row r="47" spans="1:7" ht="15" customHeight="1">
      <c r="A47" s="3">
        <v>45</v>
      </c>
      <c r="B47" s="3" t="str">
        <f>"金融学院"</f>
        <v>金融学院</v>
      </c>
      <c r="C47" s="3" t="str">
        <f>"货币金融学"</f>
        <v>货币金融学</v>
      </c>
      <c r="D47" s="3" t="str">
        <f t="shared" si="4"/>
        <v>大学科基础课</v>
      </c>
      <c r="E47" s="3" t="str">
        <f>"周丽晖"</f>
        <v>周丽晖</v>
      </c>
      <c r="F47" s="3" t="str">
        <f>"朱磊"</f>
        <v>朱磊</v>
      </c>
      <c r="G47" s="3" t="str">
        <f>"118120201007"</f>
        <v>118120201007</v>
      </c>
    </row>
    <row r="48" spans="1:7" ht="15" customHeight="1">
      <c r="A48" s="3">
        <v>46</v>
      </c>
      <c r="B48" s="3" t="str">
        <f>"金融学院"</f>
        <v>金融学院</v>
      </c>
      <c r="C48" s="3" t="str">
        <f>"货币金融学"</f>
        <v>货币金融学</v>
      </c>
      <c r="D48" s="3" t="str">
        <f t="shared" si="4"/>
        <v>大学科基础课</v>
      </c>
      <c r="E48" s="3" t="str">
        <f>"尚玉皇"</f>
        <v>尚玉皇</v>
      </c>
      <c r="F48" s="3" t="str">
        <f>"温嘉"</f>
        <v>温嘉</v>
      </c>
      <c r="G48" s="3" t="str">
        <f>"219081203009"</f>
        <v>219081203009</v>
      </c>
    </row>
    <row r="49" spans="1:7" ht="15" customHeight="1">
      <c r="A49" s="3">
        <v>47</v>
      </c>
      <c r="B49" s="3" t="str">
        <f aca="true" t="shared" si="5" ref="B49:B80">"经济数学学院"</f>
        <v>经济数学学院</v>
      </c>
      <c r="C49" s="3" t="str">
        <f>"高等数学Ⅰ"</f>
        <v>高等数学Ⅰ</v>
      </c>
      <c r="D49" s="3" t="str">
        <f aca="true" t="shared" si="6" ref="D49:D58">"通识基础课"</f>
        <v>通识基础课</v>
      </c>
      <c r="E49" s="3" t="str">
        <f>"李楠"</f>
        <v>李楠</v>
      </c>
      <c r="F49" s="3" t="str">
        <f>"江慧"</f>
        <v>江慧</v>
      </c>
      <c r="G49" s="3" t="str">
        <f>"119020206001"</f>
        <v>119020206001</v>
      </c>
    </row>
    <row r="50" spans="1:7" ht="15" customHeight="1">
      <c r="A50" s="3">
        <v>48</v>
      </c>
      <c r="B50" s="3" t="str">
        <f t="shared" si="5"/>
        <v>经济数学学院</v>
      </c>
      <c r="C50" s="3" t="str">
        <f>"高等数学Ⅰ"</f>
        <v>高等数学Ⅰ</v>
      </c>
      <c r="D50" s="3" t="str">
        <f t="shared" si="6"/>
        <v>通识基础课</v>
      </c>
      <c r="E50" s="3" t="str">
        <f>"李楠"</f>
        <v>李楠</v>
      </c>
      <c r="F50" s="3" t="str">
        <f>"韩明远"</f>
        <v>韩明远</v>
      </c>
      <c r="G50" s="3" t="str">
        <f>"218020209032"</f>
        <v>218020209032</v>
      </c>
    </row>
    <row r="51" spans="1:7" ht="15" customHeight="1">
      <c r="A51" s="3">
        <v>49</v>
      </c>
      <c r="B51" s="3" t="str">
        <f t="shared" si="5"/>
        <v>经济数学学院</v>
      </c>
      <c r="C51" s="3" t="str">
        <f>"高等数学Ⅰ"</f>
        <v>高等数学Ⅰ</v>
      </c>
      <c r="D51" s="3" t="str">
        <f t="shared" si="6"/>
        <v>通识基础课</v>
      </c>
      <c r="E51" s="3" t="str">
        <f>"刘彩平"</f>
        <v>刘彩平</v>
      </c>
      <c r="F51" s="3" t="str">
        <f>"郑茜"</f>
        <v>郑茜</v>
      </c>
      <c r="G51" s="3" t="str">
        <f>"218020208009"</f>
        <v>218020208009</v>
      </c>
    </row>
    <row r="52" spans="1:7" ht="15" customHeight="1">
      <c r="A52" s="3">
        <v>50</v>
      </c>
      <c r="B52" s="3" t="str">
        <f t="shared" si="5"/>
        <v>经济数学学院</v>
      </c>
      <c r="C52" s="3" t="str">
        <f>"高等数学Ⅰ"</f>
        <v>高等数学Ⅰ</v>
      </c>
      <c r="D52" s="3" t="str">
        <f t="shared" si="6"/>
        <v>通识基础课</v>
      </c>
      <c r="E52" s="3" t="str">
        <f>"刘彩平"</f>
        <v>刘彩平</v>
      </c>
      <c r="F52" s="3" t="str">
        <f>"童琳"</f>
        <v>童琳</v>
      </c>
      <c r="G52" s="3" t="str">
        <f>"219020208007"</f>
        <v>219020208007</v>
      </c>
    </row>
    <row r="53" spans="1:7" ht="15" customHeight="1">
      <c r="A53" s="3">
        <v>51</v>
      </c>
      <c r="B53" s="3" t="str">
        <f t="shared" si="5"/>
        <v>经济数学学院</v>
      </c>
      <c r="C53" s="3" t="str">
        <f>"高等代数Ⅰ"</f>
        <v>高等代数Ⅰ</v>
      </c>
      <c r="D53" s="3" t="str">
        <f t="shared" si="6"/>
        <v>通识基础课</v>
      </c>
      <c r="E53" s="3" t="str">
        <f>"林谦"</f>
        <v>林谦</v>
      </c>
      <c r="F53" s="3" t="str">
        <f>"林晨"</f>
        <v>林晨</v>
      </c>
      <c r="G53" s="3" t="str">
        <f>"2190202J8013"</f>
        <v>2190202J8013</v>
      </c>
    </row>
    <row r="54" spans="1:7" ht="15" customHeight="1">
      <c r="A54" s="3">
        <v>52</v>
      </c>
      <c r="B54" s="3" t="str">
        <f t="shared" si="5"/>
        <v>经济数学学院</v>
      </c>
      <c r="C54" s="3" t="str">
        <f>"高等代数Ⅰ"</f>
        <v>高等代数Ⅰ</v>
      </c>
      <c r="D54" s="3" t="str">
        <f t="shared" si="6"/>
        <v>通识基础课</v>
      </c>
      <c r="E54" s="3" t="str">
        <f>"林谦"</f>
        <v>林谦</v>
      </c>
      <c r="F54" s="3" t="str">
        <f>"朱杰"</f>
        <v>朱杰</v>
      </c>
      <c r="G54" s="3" t="str">
        <f>"119020101003"</f>
        <v>119020101003</v>
      </c>
    </row>
    <row r="55" spans="1:7" ht="15" customHeight="1">
      <c r="A55" s="3">
        <v>53</v>
      </c>
      <c r="B55" s="3" t="str">
        <f t="shared" si="5"/>
        <v>经济数学学院</v>
      </c>
      <c r="C55" s="3" t="str">
        <f>"高等代数Ⅰ"</f>
        <v>高等代数Ⅰ</v>
      </c>
      <c r="D55" s="3" t="str">
        <f t="shared" si="6"/>
        <v>通识基础课</v>
      </c>
      <c r="E55" s="3" t="str">
        <f>"李静"</f>
        <v>李静</v>
      </c>
      <c r="F55" s="3" t="str">
        <f>"蔡鹏"</f>
        <v>蔡鹏</v>
      </c>
      <c r="G55" s="3" t="str">
        <f>"219120100017"</f>
        <v>219120100017</v>
      </c>
    </row>
    <row r="56" spans="1:7" ht="15" customHeight="1">
      <c r="A56" s="3">
        <v>54</v>
      </c>
      <c r="B56" s="3" t="str">
        <f t="shared" si="5"/>
        <v>经济数学学院</v>
      </c>
      <c r="C56" s="3" t="str">
        <f>"高等数学Ⅰ"</f>
        <v>高等数学Ⅰ</v>
      </c>
      <c r="D56" s="3" t="str">
        <f t="shared" si="6"/>
        <v>通识基础课</v>
      </c>
      <c r="E56" s="3" t="str">
        <f>"代宏霞"</f>
        <v>代宏霞</v>
      </c>
      <c r="F56" s="3" t="str">
        <f>"王寅苏"</f>
        <v>王寅苏</v>
      </c>
      <c r="G56" s="3" t="str">
        <f>"218020106002"</f>
        <v>218020106002</v>
      </c>
    </row>
    <row r="57" spans="1:7" ht="15" customHeight="1">
      <c r="A57" s="3">
        <v>55</v>
      </c>
      <c r="B57" s="3" t="str">
        <f t="shared" si="5"/>
        <v>经济数学学院</v>
      </c>
      <c r="C57" s="3" t="str">
        <f>"高等数学Ⅰ"</f>
        <v>高等数学Ⅰ</v>
      </c>
      <c r="D57" s="3" t="str">
        <f t="shared" si="6"/>
        <v>通识基础课</v>
      </c>
      <c r="E57" s="3" t="str">
        <f>"代宏霞"</f>
        <v>代宏霞</v>
      </c>
      <c r="F57" s="3" t="str">
        <f>"刘思岑"</f>
        <v>刘思岑</v>
      </c>
      <c r="G57" s="3" t="str">
        <f>"119020106001"</f>
        <v>119020106001</v>
      </c>
    </row>
    <row r="58" spans="1:7" ht="15" customHeight="1">
      <c r="A58" s="3">
        <v>56</v>
      </c>
      <c r="B58" s="3" t="str">
        <f t="shared" si="5"/>
        <v>经济数学学院</v>
      </c>
      <c r="C58" s="3" t="str">
        <f>"高等数学Ⅰ"</f>
        <v>高等数学Ⅰ</v>
      </c>
      <c r="D58" s="3" t="str">
        <f t="shared" si="6"/>
        <v>通识基础课</v>
      </c>
      <c r="E58" s="3" t="str">
        <f>"戴岱"</f>
        <v>戴岱</v>
      </c>
      <c r="F58" s="3" t="str">
        <f>"吴念"</f>
        <v>吴念</v>
      </c>
      <c r="G58" s="3" t="str">
        <f>"119071400005"</f>
        <v>119071400005</v>
      </c>
    </row>
    <row r="59" spans="1:7" ht="15" customHeight="1">
      <c r="A59" s="3">
        <v>57</v>
      </c>
      <c r="B59" s="3" t="str">
        <f t="shared" si="5"/>
        <v>经济数学学院</v>
      </c>
      <c r="C59" s="3" t="str">
        <f>"运筹学"</f>
        <v>运筹学</v>
      </c>
      <c r="D59" s="3" t="str">
        <f>"大学科基础课"</f>
        <v>大学科基础课</v>
      </c>
      <c r="E59" s="3" t="str">
        <f>"戴岱"</f>
        <v>戴岱</v>
      </c>
      <c r="F59" s="3" t="str">
        <f>"赵森杨"</f>
        <v>赵森杨</v>
      </c>
      <c r="G59" s="3" t="str">
        <f>"117020204015"</f>
        <v>117020204015</v>
      </c>
    </row>
    <row r="60" spans="1:7" ht="15" customHeight="1">
      <c r="A60" s="3">
        <v>58</v>
      </c>
      <c r="B60" s="3" t="str">
        <f t="shared" si="5"/>
        <v>经济数学学院</v>
      </c>
      <c r="C60" s="3" t="str">
        <f>"运筹学"</f>
        <v>运筹学</v>
      </c>
      <c r="D60" s="3" t="str">
        <f>"大学科基础课"</f>
        <v>大学科基础课</v>
      </c>
      <c r="E60" s="3" t="str">
        <f>"戴岱"</f>
        <v>戴岱</v>
      </c>
      <c r="F60" s="3" t="str">
        <f>"周丽婷"</f>
        <v>周丽婷</v>
      </c>
      <c r="G60" s="3" t="str">
        <f>"2190202Z1019"</f>
        <v>2190202Z1019</v>
      </c>
    </row>
    <row r="61" spans="1:7" ht="15" customHeight="1">
      <c r="A61" s="3">
        <v>59</v>
      </c>
      <c r="B61" s="3" t="str">
        <f t="shared" si="5"/>
        <v>经济数学学院</v>
      </c>
      <c r="C61" s="3" t="str">
        <f>"常微分方程"</f>
        <v>常微分方程</v>
      </c>
      <c r="D61" s="3" t="str">
        <f>"大学科基础课"</f>
        <v>大学科基础课</v>
      </c>
      <c r="E61" s="3" t="str">
        <f>"高雪梅"</f>
        <v>高雪梅</v>
      </c>
      <c r="F61" s="3" t="str">
        <f>"史争光"</f>
        <v>史争光</v>
      </c>
      <c r="G61" s="3" t="str">
        <f>"117020291001"</f>
        <v>117020291001</v>
      </c>
    </row>
    <row r="62" spans="1:7" ht="15" customHeight="1">
      <c r="A62" s="3">
        <v>60</v>
      </c>
      <c r="B62" s="3" t="str">
        <f t="shared" si="5"/>
        <v>经济数学学院</v>
      </c>
      <c r="C62" s="3" t="str">
        <f>"高等代数Ⅰ"</f>
        <v>高等代数Ⅰ</v>
      </c>
      <c r="D62" s="3" t="str">
        <f>"通识基础课"</f>
        <v>通识基础课</v>
      </c>
      <c r="E62" s="3" t="str">
        <f>"高雪梅"</f>
        <v>高雪梅</v>
      </c>
      <c r="F62" s="3" t="str">
        <f>"秦志龙"</f>
        <v>秦志龙</v>
      </c>
      <c r="G62" s="3" t="str">
        <f>"118020104007"</f>
        <v>118020104007</v>
      </c>
    </row>
    <row r="63" spans="1:7" ht="15" customHeight="1">
      <c r="A63" s="3">
        <v>61</v>
      </c>
      <c r="B63" s="3" t="str">
        <f t="shared" si="5"/>
        <v>经济数学学院</v>
      </c>
      <c r="C63" s="3" t="str">
        <f>"机器学习数学基础"</f>
        <v>机器学习数学基础</v>
      </c>
      <c r="D63" s="3" t="str">
        <f>"通识基础课"</f>
        <v>通识基础课</v>
      </c>
      <c r="E63" s="3" t="str">
        <f>"赵建容"</f>
        <v>赵建容</v>
      </c>
      <c r="F63" s="3" t="str">
        <f>"冯沙沙"</f>
        <v>冯沙沙</v>
      </c>
      <c r="G63" s="3" t="str">
        <f>"2190202Z4004"</f>
        <v>2190202Z4004</v>
      </c>
    </row>
    <row r="64" spans="1:7" ht="15" customHeight="1">
      <c r="A64" s="3">
        <v>62</v>
      </c>
      <c r="B64" s="3" t="str">
        <f t="shared" si="5"/>
        <v>经济数学学院</v>
      </c>
      <c r="C64" s="3" t="str">
        <f>"机器学习数学基础"</f>
        <v>机器学习数学基础</v>
      </c>
      <c r="D64" s="3" t="str">
        <f>"通识基础课"</f>
        <v>通识基础课</v>
      </c>
      <c r="E64" s="3" t="str">
        <f>"赵建容"</f>
        <v>赵建容</v>
      </c>
      <c r="F64" s="3" t="str">
        <f>"李亚玲"</f>
        <v>李亚玲</v>
      </c>
      <c r="G64" s="3" t="str">
        <f>"218020204075"</f>
        <v>218020204075</v>
      </c>
    </row>
    <row r="65" spans="1:7" ht="15" customHeight="1">
      <c r="A65" s="3">
        <v>63</v>
      </c>
      <c r="B65" s="3" t="str">
        <f t="shared" si="5"/>
        <v>经济数学学院</v>
      </c>
      <c r="C65" s="3" t="str">
        <f>"高等代数Ⅰ"</f>
        <v>高等代数Ⅰ</v>
      </c>
      <c r="D65" s="3" t="str">
        <f>"通识基础课"</f>
        <v>通识基础课</v>
      </c>
      <c r="E65" s="3" t="str">
        <f>"赵建容"</f>
        <v>赵建容</v>
      </c>
      <c r="F65" s="3" t="str">
        <f>"杨鸿宇"</f>
        <v>杨鸿宇</v>
      </c>
      <c r="G65" s="3" t="str">
        <f>"1190202Z1003"</f>
        <v>1190202Z1003</v>
      </c>
    </row>
    <row r="66" spans="1:7" ht="15" customHeight="1">
      <c r="A66" s="3">
        <v>64</v>
      </c>
      <c r="B66" s="3" t="str">
        <f t="shared" si="5"/>
        <v>经济数学学院</v>
      </c>
      <c r="C66" s="3" t="str">
        <f>"高等代数Ⅰ"</f>
        <v>高等代数Ⅰ</v>
      </c>
      <c r="D66" s="3" t="str">
        <f>"自由选修课"</f>
        <v>自由选修课</v>
      </c>
      <c r="E66" s="3" t="str">
        <f>"孙云龙"</f>
        <v>孙云龙</v>
      </c>
      <c r="F66" s="3" t="str">
        <f>"郑璋晔"</f>
        <v>郑璋晔</v>
      </c>
      <c r="G66" s="3" t="str">
        <f>"2190202Z1002"</f>
        <v>2190202Z1002</v>
      </c>
    </row>
    <row r="67" spans="1:7" ht="15" customHeight="1">
      <c r="A67" s="3">
        <v>65</v>
      </c>
      <c r="B67" s="3" t="str">
        <f t="shared" si="5"/>
        <v>经济数学学院</v>
      </c>
      <c r="C67" s="3" t="str">
        <f aca="true" t="shared" si="7" ref="C67:C72">"高等数学Ⅰ"</f>
        <v>高等数学Ⅰ</v>
      </c>
      <c r="D67" s="3" t="str">
        <f aca="true" t="shared" si="8" ref="D67:D72">"通识基础课"</f>
        <v>通识基础课</v>
      </c>
      <c r="E67" s="3" t="str">
        <f>"吴静"</f>
        <v>吴静</v>
      </c>
      <c r="F67" s="3" t="str">
        <f>"余诗蕾"</f>
        <v>余诗蕾</v>
      </c>
      <c r="G67" s="3" t="str">
        <f>"218120201028"</f>
        <v>218120201028</v>
      </c>
    </row>
    <row r="68" spans="1:7" ht="15" customHeight="1">
      <c r="A68" s="3">
        <v>66</v>
      </c>
      <c r="B68" s="3" t="str">
        <f t="shared" si="5"/>
        <v>经济数学学院</v>
      </c>
      <c r="C68" s="3" t="str">
        <f t="shared" si="7"/>
        <v>高等数学Ⅰ</v>
      </c>
      <c r="D68" s="3" t="str">
        <f t="shared" si="8"/>
        <v>通识基础课</v>
      </c>
      <c r="E68" s="3" t="str">
        <f>"梁浩"</f>
        <v>梁浩</v>
      </c>
      <c r="F68" s="3" t="str">
        <f>"李大海"</f>
        <v>李大海</v>
      </c>
      <c r="G68" s="3" t="str">
        <f>"1180202Z1010"</f>
        <v>1180202Z1010</v>
      </c>
    </row>
    <row r="69" spans="1:7" ht="15" customHeight="1">
      <c r="A69" s="3">
        <v>67</v>
      </c>
      <c r="B69" s="3" t="str">
        <f t="shared" si="5"/>
        <v>经济数学学院</v>
      </c>
      <c r="C69" s="3" t="str">
        <f t="shared" si="7"/>
        <v>高等数学Ⅰ</v>
      </c>
      <c r="D69" s="3" t="str">
        <f t="shared" si="8"/>
        <v>通识基础课</v>
      </c>
      <c r="E69" s="3" t="str">
        <f>"梁浩"</f>
        <v>梁浩</v>
      </c>
      <c r="F69" s="3" t="str">
        <f>"郝文静"</f>
        <v>郝文静</v>
      </c>
      <c r="G69" s="3" t="str">
        <f>"1190202Z1012"</f>
        <v>1190202Z1012</v>
      </c>
    </row>
    <row r="70" spans="1:7" ht="15" customHeight="1">
      <c r="A70" s="3">
        <v>68</v>
      </c>
      <c r="B70" s="3" t="str">
        <f t="shared" si="5"/>
        <v>经济数学学院</v>
      </c>
      <c r="C70" s="3" t="str">
        <f t="shared" si="7"/>
        <v>高等数学Ⅰ</v>
      </c>
      <c r="D70" s="3" t="str">
        <f t="shared" si="8"/>
        <v>通识基础课</v>
      </c>
      <c r="E70" s="3" t="str">
        <f>"梁浩"</f>
        <v>梁浩</v>
      </c>
      <c r="F70" s="3" t="str">
        <f>"李怡馨"</f>
        <v>李怡馨</v>
      </c>
      <c r="G70" s="3" t="str">
        <f>"1180202Z1001"</f>
        <v>1180202Z1001</v>
      </c>
    </row>
    <row r="71" spans="1:7" ht="15" customHeight="1">
      <c r="A71" s="3">
        <v>69</v>
      </c>
      <c r="B71" s="3" t="str">
        <f t="shared" si="5"/>
        <v>经济数学学院</v>
      </c>
      <c r="C71" s="3" t="str">
        <f t="shared" si="7"/>
        <v>高等数学Ⅰ</v>
      </c>
      <c r="D71" s="3" t="str">
        <f t="shared" si="8"/>
        <v>通识基础课</v>
      </c>
      <c r="E71" s="3" t="str">
        <f>"李凤英"</f>
        <v>李凤英</v>
      </c>
      <c r="F71" s="3" t="str">
        <f>"倪丽亚"</f>
        <v>倪丽亚</v>
      </c>
      <c r="G71" s="3" t="str">
        <f>"2190202Z1018"</f>
        <v>2190202Z1018</v>
      </c>
    </row>
    <row r="72" spans="1:7" ht="15" customHeight="1">
      <c r="A72" s="3">
        <v>70</v>
      </c>
      <c r="B72" s="3" t="str">
        <f t="shared" si="5"/>
        <v>经济数学学院</v>
      </c>
      <c r="C72" s="3" t="str">
        <f t="shared" si="7"/>
        <v>高等数学Ⅰ</v>
      </c>
      <c r="D72" s="3" t="str">
        <f t="shared" si="8"/>
        <v>通识基础课</v>
      </c>
      <c r="E72" s="3" t="str">
        <f>"李凤英"</f>
        <v>李凤英</v>
      </c>
      <c r="F72" s="3" t="str">
        <f>"冯鋆"</f>
        <v>冯鋆</v>
      </c>
      <c r="G72" s="3" t="str">
        <f>"2190202Z1003"</f>
        <v>2190202Z1003</v>
      </c>
    </row>
    <row r="73" spans="1:7" ht="15" customHeight="1">
      <c r="A73" s="3">
        <v>71</v>
      </c>
      <c r="B73" s="3" t="str">
        <f t="shared" si="5"/>
        <v>经济数学学院</v>
      </c>
      <c r="C73" s="3" t="str">
        <f>"空间解析几何"</f>
        <v>空间解析几何</v>
      </c>
      <c r="D73" s="3" t="str">
        <f>"大学科基础课"</f>
        <v>大学科基础课</v>
      </c>
      <c r="E73" s="3" t="str">
        <f>"李凤英"</f>
        <v>李凤英</v>
      </c>
      <c r="F73" s="3" t="str">
        <f>"张奥阳"</f>
        <v>张奥阳</v>
      </c>
      <c r="G73" s="3" t="str">
        <f>"117020204007"</f>
        <v>117020204007</v>
      </c>
    </row>
    <row r="74" spans="1:7" ht="15" customHeight="1">
      <c r="A74" s="3">
        <v>72</v>
      </c>
      <c r="B74" s="3" t="str">
        <f t="shared" si="5"/>
        <v>经济数学学院</v>
      </c>
      <c r="C74" s="3" t="str">
        <f>"高等代数Ⅰ"</f>
        <v>高等代数Ⅰ</v>
      </c>
      <c r="D74" s="3" t="str">
        <f aca="true" t="shared" si="9" ref="D74:D96">"通识基础课"</f>
        <v>通识基础课</v>
      </c>
      <c r="E74" s="3" t="str">
        <f>"曾嵘"</f>
        <v>曾嵘</v>
      </c>
      <c r="F74" s="3" t="str">
        <f>"周诗涵"</f>
        <v>周诗涵</v>
      </c>
      <c r="G74" s="3" t="str">
        <f>"219071400012"</f>
        <v>219071400012</v>
      </c>
    </row>
    <row r="75" spans="1:7" ht="15" customHeight="1">
      <c r="A75" s="3">
        <v>73</v>
      </c>
      <c r="B75" s="3" t="str">
        <f t="shared" si="5"/>
        <v>经济数学学院</v>
      </c>
      <c r="C75" s="3" t="str">
        <f>"高等代数Ⅰ"</f>
        <v>高等代数Ⅰ</v>
      </c>
      <c r="D75" s="3" t="str">
        <f t="shared" si="9"/>
        <v>通识基础课</v>
      </c>
      <c r="E75" s="3" t="str">
        <f>"曾嵘"</f>
        <v>曾嵘</v>
      </c>
      <c r="F75" s="3" t="str">
        <f>"吕雪"</f>
        <v>吕雪</v>
      </c>
      <c r="G75" s="3" t="str">
        <f>"219071400008"</f>
        <v>219071400008</v>
      </c>
    </row>
    <row r="76" spans="1:7" ht="15" customHeight="1">
      <c r="A76" s="3">
        <v>74</v>
      </c>
      <c r="B76" s="3" t="str">
        <f t="shared" si="5"/>
        <v>经济数学学院</v>
      </c>
      <c r="C76" s="3" t="str">
        <f>"概率论（理科）"</f>
        <v>概率论（理科）</v>
      </c>
      <c r="D76" s="3" t="str">
        <f t="shared" si="9"/>
        <v>通识基础课</v>
      </c>
      <c r="E76" s="3" t="str">
        <f>"白淑敏"</f>
        <v>白淑敏</v>
      </c>
      <c r="F76" s="3" t="str">
        <f>"何家璇"</f>
        <v>何家璇</v>
      </c>
      <c r="G76" s="3" t="str">
        <f>"2180202Z2052"</f>
        <v>2180202Z2052</v>
      </c>
    </row>
    <row r="77" spans="1:7" ht="15" customHeight="1">
      <c r="A77" s="3">
        <v>75</v>
      </c>
      <c r="B77" s="3" t="str">
        <f t="shared" si="5"/>
        <v>经济数学学院</v>
      </c>
      <c r="C77" s="3" t="str">
        <f>"概率论（理科）"</f>
        <v>概率论（理科）</v>
      </c>
      <c r="D77" s="3" t="str">
        <f t="shared" si="9"/>
        <v>通识基础课</v>
      </c>
      <c r="E77" s="3" t="str">
        <f>"白淑敏"</f>
        <v>白淑敏</v>
      </c>
      <c r="F77" s="3" t="str">
        <f>"张九龙"</f>
        <v>张九龙</v>
      </c>
      <c r="G77" s="3" t="str">
        <f>"1181201Z5006"</f>
        <v>1181201Z5006</v>
      </c>
    </row>
    <row r="78" spans="1:7" ht="15" customHeight="1">
      <c r="A78" s="3">
        <v>76</v>
      </c>
      <c r="B78" s="3" t="str">
        <f t="shared" si="5"/>
        <v>经济数学学院</v>
      </c>
      <c r="C78" s="3" t="str">
        <f>"高等代数Ⅰ"</f>
        <v>高等代数Ⅰ</v>
      </c>
      <c r="D78" s="3" t="str">
        <f t="shared" si="9"/>
        <v>通识基础课</v>
      </c>
      <c r="E78" s="3" t="str">
        <f>"樊胜"</f>
        <v>樊胜</v>
      </c>
      <c r="F78" s="3" t="str">
        <f>"刘航"</f>
        <v>刘航</v>
      </c>
      <c r="G78" s="3" t="str">
        <f>"1190202J8001"</f>
        <v>1190202J8001</v>
      </c>
    </row>
    <row r="79" spans="1:7" ht="15" customHeight="1">
      <c r="A79" s="3">
        <v>77</v>
      </c>
      <c r="B79" s="3" t="str">
        <f t="shared" si="5"/>
        <v>经济数学学院</v>
      </c>
      <c r="C79" s="3" t="str">
        <f>"高等代数Ⅰ"</f>
        <v>高等代数Ⅰ</v>
      </c>
      <c r="D79" s="3" t="str">
        <f t="shared" si="9"/>
        <v>通识基础课</v>
      </c>
      <c r="E79" s="3" t="str">
        <f>"樊胜"</f>
        <v>樊胜</v>
      </c>
      <c r="F79" s="3" t="str">
        <f>"程乾"</f>
        <v>程乾</v>
      </c>
      <c r="G79" s="3" t="str">
        <f>"2180202Z1016"</f>
        <v>2180202Z1016</v>
      </c>
    </row>
    <row r="80" spans="1:7" ht="15" customHeight="1">
      <c r="A80" s="3">
        <v>78</v>
      </c>
      <c r="B80" s="3" t="str">
        <f t="shared" si="5"/>
        <v>经济数学学院</v>
      </c>
      <c r="C80" s="3" t="str">
        <f>"高等代数Ⅰ"</f>
        <v>高等代数Ⅰ</v>
      </c>
      <c r="D80" s="3" t="str">
        <f t="shared" si="9"/>
        <v>通识基础课</v>
      </c>
      <c r="E80" s="3" t="str">
        <f>"樊胜"</f>
        <v>樊胜</v>
      </c>
      <c r="F80" s="3" t="str">
        <f>"熊智临"</f>
        <v>熊智临</v>
      </c>
      <c r="G80" s="3" t="str">
        <f>"219020208024"</f>
        <v>219020208024</v>
      </c>
    </row>
    <row r="81" spans="1:7" ht="15" customHeight="1">
      <c r="A81" s="3">
        <v>79</v>
      </c>
      <c r="B81" s="3" t="str">
        <f aca="true" t="shared" si="10" ref="B81:B112">"经济数学学院"</f>
        <v>经济数学学院</v>
      </c>
      <c r="C81" s="3" t="str">
        <f>"高等代数Ⅰ"</f>
        <v>高等代数Ⅰ</v>
      </c>
      <c r="D81" s="3" t="str">
        <f t="shared" si="9"/>
        <v>通识基础课</v>
      </c>
      <c r="E81" s="3" t="str">
        <f>"樊胜"</f>
        <v>樊胜</v>
      </c>
      <c r="F81" s="3" t="str">
        <f>"万泊伦"</f>
        <v>万泊伦</v>
      </c>
      <c r="G81" s="3" t="str">
        <f>"1190202Z1005"</f>
        <v>1190202Z1005</v>
      </c>
    </row>
    <row r="82" spans="1:7" ht="15" customHeight="1">
      <c r="A82" s="3">
        <v>80</v>
      </c>
      <c r="B82" s="3" t="str">
        <f t="shared" si="10"/>
        <v>经济数学学院</v>
      </c>
      <c r="C82" s="3" t="str">
        <f>"高等代数Ⅰ"</f>
        <v>高等代数Ⅰ</v>
      </c>
      <c r="D82" s="3" t="str">
        <f t="shared" si="9"/>
        <v>通识基础课</v>
      </c>
      <c r="E82" s="3" t="str">
        <f>"樊胜"</f>
        <v>樊胜</v>
      </c>
      <c r="F82" s="3" t="str">
        <f>"王苒郦"</f>
        <v>王苒郦</v>
      </c>
      <c r="G82" s="3" t="str">
        <f>"2180202Z1007"</f>
        <v>2180202Z1007</v>
      </c>
    </row>
    <row r="83" spans="1:7" ht="15" customHeight="1">
      <c r="A83" s="3">
        <v>81</v>
      </c>
      <c r="B83" s="3" t="str">
        <f t="shared" si="10"/>
        <v>经济数学学院</v>
      </c>
      <c r="C83" s="3" t="str">
        <f>"概率论（理科）"</f>
        <v>概率论（理科）</v>
      </c>
      <c r="D83" s="3" t="str">
        <f t="shared" si="9"/>
        <v>通识基础课</v>
      </c>
      <c r="E83" s="3" t="str">
        <f>"吴萌"</f>
        <v>吴萌</v>
      </c>
      <c r="F83" s="3" t="str">
        <f>"刘聪"</f>
        <v>刘聪</v>
      </c>
      <c r="G83" s="3" t="str">
        <f>"2180202Z1006"</f>
        <v>2180202Z1006</v>
      </c>
    </row>
    <row r="84" spans="1:7" ht="15" customHeight="1">
      <c r="A84" s="3">
        <v>82</v>
      </c>
      <c r="B84" s="3" t="str">
        <f t="shared" si="10"/>
        <v>经济数学学院</v>
      </c>
      <c r="C84" s="3" t="str">
        <f>"概率论（理科）"</f>
        <v>概率论（理科）</v>
      </c>
      <c r="D84" s="3" t="str">
        <f t="shared" si="9"/>
        <v>通识基础课</v>
      </c>
      <c r="E84" s="3" t="str">
        <f>"吴萌"</f>
        <v>吴萌</v>
      </c>
      <c r="F84" s="3" t="str">
        <f>"王新宇"</f>
        <v>王新宇</v>
      </c>
      <c r="G84" s="3" t="str">
        <f>"218120202030"</f>
        <v>218120202030</v>
      </c>
    </row>
    <row r="85" spans="1:7" ht="15" customHeight="1">
      <c r="A85" s="3">
        <v>83</v>
      </c>
      <c r="B85" s="3" t="str">
        <f t="shared" si="10"/>
        <v>经济数学学院</v>
      </c>
      <c r="C85" s="3" t="str">
        <f>"概率论（理科）"</f>
        <v>概率论（理科）</v>
      </c>
      <c r="D85" s="3" t="str">
        <f t="shared" si="9"/>
        <v>通识基础课</v>
      </c>
      <c r="E85" s="3" t="str">
        <f>"吴萌"</f>
        <v>吴萌</v>
      </c>
      <c r="F85" s="3" t="str">
        <f>"王梦函"</f>
        <v>王梦函</v>
      </c>
      <c r="G85" s="3" t="str">
        <f>"117020205001"</f>
        <v>117020205001</v>
      </c>
    </row>
    <row r="86" spans="1:7" ht="15" customHeight="1">
      <c r="A86" s="3">
        <v>84</v>
      </c>
      <c r="B86" s="3" t="str">
        <f t="shared" si="10"/>
        <v>经济数学学院</v>
      </c>
      <c r="C86" s="3" t="str">
        <f>"概率论（理科）"</f>
        <v>概率论（理科）</v>
      </c>
      <c r="D86" s="3" t="str">
        <f t="shared" si="9"/>
        <v>通识基础课</v>
      </c>
      <c r="E86" s="3" t="str">
        <f>"吴萌"</f>
        <v>吴萌</v>
      </c>
      <c r="F86" s="3" t="str">
        <f>"胡先全"</f>
        <v>胡先全</v>
      </c>
      <c r="G86" s="3" t="str">
        <f>"2180202Z1002"</f>
        <v>2180202Z1002</v>
      </c>
    </row>
    <row r="87" spans="1:7" ht="15" customHeight="1">
      <c r="A87" s="3">
        <v>85</v>
      </c>
      <c r="B87" s="3" t="str">
        <f t="shared" si="10"/>
        <v>经济数学学院</v>
      </c>
      <c r="C87" s="3" t="str">
        <f>"高等数学Ⅰ"</f>
        <v>高等数学Ⅰ</v>
      </c>
      <c r="D87" s="3" t="str">
        <f t="shared" si="9"/>
        <v>通识基础课</v>
      </c>
      <c r="E87" s="3" t="str">
        <f>"王开弘"</f>
        <v>王开弘</v>
      </c>
      <c r="F87" s="3" t="str">
        <f>"段婷"</f>
        <v>段婷</v>
      </c>
      <c r="G87" s="3" t="str">
        <f>"2191202Z9018"</f>
        <v>2191202Z9018</v>
      </c>
    </row>
    <row r="88" spans="1:7" ht="15" customHeight="1">
      <c r="A88" s="3">
        <v>86</v>
      </c>
      <c r="B88" s="3" t="str">
        <f t="shared" si="10"/>
        <v>经济数学学院</v>
      </c>
      <c r="C88" s="3" t="str">
        <f>"高等数学Ⅰ"</f>
        <v>高等数学Ⅰ</v>
      </c>
      <c r="D88" s="3" t="str">
        <f t="shared" si="9"/>
        <v>通识基础课</v>
      </c>
      <c r="E88" s="3" t="str">
        <f>"王开弘"</f>
        <v>王开弘</v>
      </c>
      <c r="F88" s="3" t="str">
        <f>"周钻究"</f>
        <v>周钻究</v>
      </c>
      <c r="G88" s="3" t="str">
        <f>"117020205002"</f>
        <v>117020205002</v>
      </c>
    </row>
    <row r="89" spans="1:7" ht="15" customHeight="1">
      <c r="A89" s="3">
        <v>87</v>
      </c>
      <c r="B89" s="3" t="str">
        <f t="shared" si="10"/>
        <v>经济数学学院</v>
      </c>
      <c r="C89" s="3" t="str">
        <f>"高等数学Ⅰ"</f>
        <v>高等数学Ⅰ</v>
      </c>
      <c r="D89" s="3" t="str">
        <f t="shared" si="9"/>
        <v>通识基础课</v>
      </c>
      <c r="E89" s="3" t="str">
        <f>"张清邦"</f>
        <v>张清邦</v>
      </c>
      <c r="F89" s="3" t="str">
        <f>"黄泽宇"</f>
        <v>黄泽宇</v>
      </c>
      <c r="G89" s="3" t="str">
        <f>"2190202Z2001"</f>
        <v>2190202Z2001</v>
      </c>
    </row>
    <row r="90" spans="1:7" ht="15" customHeight="1">
      <c r="A90" s="3">
        <v>88</v>
      </c>
      <c r="B90" s="3" t="str">
        <f t="shared" si="10"/>
        <v>经济数学学院</v>
      </c>
      <c r="C90" s="3" t="str">
        <f>"数学分析Ⅰ（理科）"</f>
        <v>数学分析Ⅰ（理科）</v>
      </c>
      <c r="D90" s="3" t="str">
        <f t="shared" si="9"/>
        <v>通识基础课</v>
      </c>
      <c r="E90" s="3" t="str">
        <f>"李捷"</f>
        <v>李捷</v>
      </c>
      <c r="F90" s="3" t="str">
        <f>"吴宇佳"</f>
        <v>吴宇佳</v>
      </c>
      <c r="G90" s="3" t="str">
        <f>"218020208010"</f>
        <v>218020208010</v>
      </c>
    </row>
    <row r="91" spans="1:7" ht="15" customHeight="1">
      <c r="A91" s="3">
        <v>89</v>
      </c>
      <c r="B91" s="3" t="str">
        <f t="shared" si="10"/>
        <v>经济数学学院</v>
      </c>
      <c r="C91" s="3" t="str">
        <f>"数学分析Ⅰ（理科）"</f>
        <v>数学分析Ⅰ（理科）</v>
      </c>
      <c r="D91" s="3" t="str">
        <f t="shared" si="9"/>
        <v>通识基础课</v>
      </c>
      <c r="E91" s="3" t="str">
        <f>"李捷"</f>
        <v>李捷</v>
      </c>
      <c r="F91" s="3" t="str">
        <f>"王子淳"</f>
        <v>王子淳</v>
      </c>
      <c r="G91" s="3" t="str">
        <f>"119120100003"</f>
        <v>119120100003</v>
      </c>
    </row>
    <row r="92" spans="1:7" ht="15" customHeight="1">
      <c r="A92" s="3">
        <v>90</v>
      </c>
      <c r="B92" s="3" t="str">
        <f t="shared" si="10"/>
        <v>经济数学学院</v>
      </c>
      <c r="C92" s="3" t="str">
        <f>"数学分析Ⅰ（理科）"</f>
        <v>数学分析Ⅰ（理科）</v>
      </c>
      <c r="D92" s="3" t="str">
        <f t="shared" si="9"/>
        <v>通识基础课</v>
      </c>
      <c r="E92" s="3" t="str">
        <f>"黎伟"</f>
        <v>黎伟</v>
      </c>
      <c r="F92" s="3" t="str">
        <f>"高宏"</f>
        <v>高宏</v>
      </c>
      <c r="G92" s="3" t="str">
        <f>"218020208023"</f>
        <v>218020208023</v>
      </c>
    </row>
    <row r="93" spans="1:7" ht="15" customHeight="1">
      <c r="A93" s="3">
        <v>91</v>
      </c>
      <c r="B93" s="3" t="str">
        <f t="shared" si="10"/>
        <v>经济数学学院</v>
      </c>
      <c r="C93" s="3" t="str">
        <f>"数学分析Ⅰ（理科）"</f>
        <v>数学分析Ⅰ（理科）</v>
      </c>
      <c r="D93" s="3" t="str">
        <f t="shared" si="9"/>
        <v>通识基础课</v>
      </c>
      <c r="E93" s="3" t="str">
        <f>"黎伟"</f>
        <v>黎伟</v>
      </c>
      <c r="F93" s="3" t="str">
        <f>"牟佳琪"</f>
        <v>牟佳琪</v>
      </c>
      <c r="G93" s="3" t="str">
        <f>"218120201030"</f>
        <v>218120201030</v>
      </c>
    </row>
    <row r="94" spans="1:7" ht="15" customHeight="1">
      <c r="A94" s="3">
        <v>92</v>
      </c>
      <c r="B94" s="3" t="str">
        <f t="shared" si="10"/>
        <v>经济数学学院</v>
      </c>
      <c r="C94" s="3" t="str">
        <f>"数学分析Ⅰ（理科）"</f>
        <v>数学分析Ⅰ（理科）</v>
      </c>
      <c r="D94" s="3" t="str">
        <f t="shared" si="9"/>
        <v>通识基础课</v>
      </c>
      <c r="E94" s="3" t="str">
        <f>"黎伟"</f>
        <v>黎伟</v>
      </c>
      <c r="F94" s="3" t="str">
        <f>"余澜"</f>
        <v>余澜</v>
      </c>
      <c r="G94" s="3" t="str">
        <f>"219020208009"</f>
        <v>219020208009</v>
      </c>
    </row>
    <row r="95" spans="1:7" ht="15" customHeight="1">
      <c r="A95" s="3">
        <v>93</v>
      </c>
      <c r="B95" s="3" t="str">
        <f t="shared" si="10"/>
        <v>经济数学学院</v>
      </c>
      <c r="C95" s="3" t="str">
        <f>"高等数学Ⅰ"</f>
        <v>高等数学Ⅰ</v>
      </c>
      <c r="D95" s="3" t="str">
        <f t="shared" si="9"/>
        <v>通识基础课</v>
      </c>
      <c r="E95" s="3" t="str">
        <f>"梁之磊"</f>
        <v>梁之磊</v>
      </c>
      <c r="F95" s="3" t="str">
        <f>"江婧"</f>
        <v>江婧</v>
      </c>
      <c r="G95" s="3" t="str">
        <f>"218070100004"</f>
        <v>218070100004</v>
      </c>
    </row>
    <row r="96" spans="1:7" ht="15" customHeight="1">
      <c r="A96" s="3">
        <v>94</v>
      </c>
      <c r="B96" s="3" t="str">
        <f t="shared" si="10"/>
        <v>经济数学学院</v>
      </c>
      <c r="C96" s="3" t="str">
        <f>"高等数学Ⅰ"</f>
        <v>高等数学Ⅰ</v>
      </c>
      <c r="D96" s="3" t="str">
        <f t="shared" si="9"/>
        <v>通识基础课</v>
      </c>
      <c r="E96" s="3" t="str">
        <f>"梁之磊"</f>
        <v>梁之磊</v>
      </c>
      <c r="F96" s="3" t="str">
        <f>"郑伟"</f>
        <v>郑伟</v>
      </c>
      <c r="G96" s="3" t="str">
        <f>"219070100002"</f>
        <v>219070100002</v>
      </c>
    </row>
    <row r="97" spans="1:7" ht="15" customHeight="1">
      <c r="A97" s="3">
        <v>95</v>
      </c>
      <c r="B97" s="3" t="str">
        <f t="shared" si="10"/>
        <v>经济数学学院</v>
      </c>
      <c r="C97" s="3" t="str">
        <f>"复变函数"</f>
        <v>复变函数</v>
      </c>
      <c r="D97" s="3" t="str">
        <f>"大学科基础课"</f>
        <v>大学科基础课</v>
      </c>
      <c r="E97" s="3" t="str">
        <f>"林一丁"</f>
        <v>林一丁</v>
      </c>
      <c r="F97" s="3" t="str">
        <f>"仵程宽"</f>
        <v>仵程宽</v>
      </c>
      <c r="G97" s="3" t="str">
        <f>"118020201003"</f>
        <v>118020201003</v>
      </c>
    </row>
    <row r="98" spans="1:7" ht="15" customHeight="1">
      <c r="A98" s="3">
        <v>96</v>
      </c>
      <c r="B98" s="3" t="str">
        <f t="shared" si="10"/>
        <v>经济数学学院</v>
      </c>
      <c r="C98" s="3" t="str">
        <f>"高等数学Ⅰ"</f>
        <v>高等数学Ⅰ</v>
      </c>
      <c r="D98" s="3" t="str">
        <f>"通识基础课"</f>
        <v>通识基础课</v>
      </c>
      <c r="E98" s="3" t="str">
        <f>"王磊"</f>
        <v>王磊</v>
      </c>
      <c r="F98" s="3" t="str">
        <f>"梁情文"</f>
        <v>梁情文</v>
      </c>
      <c r="G98" s="3" t="str">
        <f>"1191202Z6002"</f>
        <v>1191202Z6002</v>
      </c>
    </row>
    <row r="99" spans="1:7" ht="15" customHeight="1">
      <c r="A99" s="3">
        <v>97</v>
      </c>
      <c r="B99" s="3" t="str">
        <f t="shared" si="10"/>
        <v>经济数学学院</v>
      </c>
      <c r="C99" s="3" t="str">
        <f>"高等数学Ⅰ"</f>
        <v>高等数学Ⅰ</v>
      </c>
      <c r="D99" s="3" t="str">
        <f>"通识基础课"</f>
        <v>通识基础课</v>
      </c>
      <c r="E99" s="3" t="str">
        <f>"王磊"</f>
        <v>王磊</v>
      </c>
      <c r="F99" s="3" t="str">
        <f>"赵棚"</f>
        <v>赵棚</v>
      </c>
      <c r="G99" s="3" t="str">
        <f>"2180202Z1017"</f>
        <v>2180202Z1017</v>
      </c>
    </row>
    <row r="100" spans="1:7" ht="15" customHeight="1">
      <c r="A100" s="3">
        <v>98</v>
      </c>
      <c r="B100" s="3" t="str">
        <f t="shared" si="10"/>
        <v>经济数学学院</v>
      </c>
      <c r="C100" s="3" t="str">
        <f>"高等代数Ⅰ"</f>
        <v>高等代数Ⅰ</v>
      </c>
      <c r="D100" s="3" t="str">
        <f>"通识基础课"</f>
        <v>通识基础课</v>
      </c>
      <c r="E100" s="3" t="str">
        <f>"孙疆明"</f>
        <v>孙疆明</v>
      </c>
      <c r="F100" s="3" t="str">
        <f>"李阳"</f>
        <v>李阳</v>
      </c>
      <c r="G100" s="3" t="str">
        <f>"2180202Z1001"</f>
        <v>2180202Z1001</v>
      </c>
    </row>
    <row r="101" spans="1:7" ht="15" customHeight="1">
      <c r="A101" s="3">
        <v>99</v>
      </c>
      <c r="B101" s="3" t="str">
        <f t="shared" si="10"/>
        <v>经济数学学院</v>
      </c>
      <c r="C101" s="3" t="str">
        <f>"高等代数Ⅰ"</f>
        <v>高等代数Ⅰ</v>
      </c>
      <c r="D101" s="3" t="str">
        <f>"通识基础课"</f>
        <v>通识基础课</v>
      </c>
      <c r="E101" s="3" t="str">
        <f>"孙疆明"</f>
        <v>孙疆明</v>
      </c>
      <c r="F101" s="3" t="str">
        <f>"房娅楚"</f>
        <v>房娅楚</v>
      </c>
      <c r="G101" s="3" t="str">
        <f>"2180202Z1020"</f>
        <v>2180202Z1020</v>
      </c>
    </row>
    <row r="102" spans="1:7" ht="15" customHeight="1">
      <c r="A102" s="3">
        <v>100</v>
      </c>
      <c r="B102" s="3" t="str">
        <f t="shared" si="10"/>
        <v>经济数学学院</v>
      </c>
      <c r="C102" s="3" t="str">
        <f>"偏微分方程"</f>
        <v>偏微分方程</v>
      </c>
      <c r="D102" s="3" t="str">
        <f>"专业必修课"</f>
        <v>专业必修课</v>
      </c>
      <c r="E102" s="3" t="str">
        <f>"王琪"</f>
        <v>王琪</v>
      </c>
      <c r="F102" s="3" t="str">
        <f>"陈琳"</f>
        <v>陈琳</v>
      </c>
      <c r="G102" s="3" t="str">
        <f>"218070100007"</f>
        <v>218070100007</v>
      </c>
    </row>
    <row r="103" spans="1:7" ht="15" customHeight="1">
      <c r="A103" s="3">
        <v>101</v>
      </c>
      <c r="B103" s="3" t="str">
        <f t="shared" si="10"/>
        <v>经济数学学院</v>
      </c>
      <c r="C103" s="3" t="str">
        <f>"概率论（理科）"</f>
        <v>概率论（理科）</v>
      </c>
      <c r="D103" s="3" t="str">
        <f aca="true" t="shared" si="11" ref="D103:D113">"通识基础课"</f>
        <v>通识基础课</v>
      </c>
      <c r="E103" s="3" t="str">
        <f>"黄文毅"</f>
        <v>黄文毅</v>
      </c>
      <c r="F103" s="3" t="str">
        <f>"张恬"</f>
        <v>张恬</v>
      </c>
      <c r="G103" s="3" t="str">
        <f>"219095137030"</f>
        <v>219095137030</v>
      </c>
    </row>
    <row r="104" spans="1:7" ht="15" customHeight="1">
      <c r="A104" s="3">
        <v>102</v>
      </c>
      <c r="B104" s="3" t="str">
        <f t="shared" si="10"/>
        <v>经济数学学院</v>
      </c>
      <c r="C104" s="3" t="str">
        <f>"高等代数Ⅰ"</f>
        <v>高等代数Ⅰ</v>
      </c>
      <c r="D104" s="3" t="str">
        <f t="shared" si="11"/>
        <v>通识基础课</v>
      </c>
      <c r="E104" s="3" t="str">
        <f>"吴曦"</f>
        <v>吴曦</v>
      </c>
      <c r="F104" s="3" t="str">
        <f>"石翔燕"</f>
        <v>石翔燕</v>
      </c>
      <c r="G104" s="3" t="str">
        <f>"117120201004"</f>
        <v>117120201004</v>
      </c>
    </row>
    <row r="105" spans="1:7" ht="15" customHeight="1">
      <c r="A105" s="3">
        <v>103</v>
      </c>
      <c r="B105" s="3" t="str">
        <f t="shared" si="10"/>
        <v>经济数学学院</v>
      </c>
      <c r="C105" s="3" t="str">
        <f>"高等代数Ⅰ"</f>
        <v>高等代数Ⅰ</v>
      </c>
      <c r="D105" s="3" t="str">
        <f t="shared" si="11"/>
        <v>通识基础课</v>
      </c>
      <c r="E105" s="3" t="str">
        <f>"吴曦"</f>
        <v>吴曦</v>
      </c>
      <c r="F105" s="3" t="str">
        <f>"徐媛"</f>
        <v>徐媛</v>
      </c>
      <c r="G105" s="3" t="str">
        <f>"219020101003"</f>
        <v>219020101003</v>
      </c>
    </row>
    <row r="106" spans="1:7" ht="15" customHeight="1">
      <c r="A106" s="3">
        <v>104</v>
      </c>
      <c r="B106" s="3" t="str">
        <f t="shared" si="10"/>
        <v>经济数学学院</v>
      </c>
      <c r="C106" s="3" t="str">
        <f>"高等代数Ⅰ"</f>
        <v>高等代数Ⅰ</v>
      </c>
      <c r="D106" s="3" t="str">
        <f t="shared" si="11"/>
        <v>通识基础课</v>
      </c>
      <c r="E106" s="3" t="str">
        <f>"吴曦"</f>
        <v>吴曦</v>
      </c>
      <c r="F106" s="3" t="str">
        <f>"侯方玫"</f>
        <v>侯方玫</v>
      </c>
      <c r="G106" s="3" t="str">
        <f>"119071400001"</f>
        <v>119071400001</v>
      </c>
    </row>
    <row r="107" spans="1:7" ht="15" customHeight="1">
      <c r="A107" s="3">
        <v>105</v>
      </c>
      <c r="B107" s="3" t="str">
        <f t="shared" si="10"/>
        <v>经济数学学院</v>
      </c>
      <c r="C107" s="3" t="str">
        <f>"高等代数Ⅰ"</f>
        <v>高等代数Ⅰ</v>
      </c>
      <c r="D107" s="3" t="str">
        <f t="shared" si="11"/>
        <v>通识基础课</v>
      </c>
      <c r="E107" s="3" t="str">
        <f>"吴曦"</f>
        <v>吴曦</v>
      </c>
      <c r="F107" s="3" t="str">
        <f>"雍谦"</f>
        <v>雍谦</v>
      </c>
      <c r="G107" s="3" t="str">
        <f>"219070100011"</f>
        <v>219070100011</v>
      </c>
    </row>
    <row r="108" spans="1:7" ht="15" customHeight="1">
      <c r="A108" s="3">
        <v>106</v>
      </c>
      <c r="B108" s="3" t="str">
        <f t="shared" si="10"/>
        <v>经济数学学院</v>
      </c>
      <c r="C108" s="3" t="str">
        <f>"数学分析Ⅲ（理科）"</f>
        <v>数学分析Ⅲ（理科）</v>
      </c>
      <c r="D108" s="3" t="str">
        <f t="shared" si="11"/>
        <v>通识基础课</v>
      </c>
      <c r="E108" s="3" t="str">
        <f>"陈小平"</f>
        <v>陈小平</v>
      </c>
      <c r="F108" s="3" t="str">
        <f>"张冬雪"</f>
        <v>张冬雪</v>
      </c>
      <c r="G108" s="3" t="str">
        <f>"219071400014"</f>
        <v>219071400014</v>
      </c>
    </row>
    <row r="109" spans="1:7" ht="15" customHeight="1">
      <c r="A109" s="3">
        <v>107</v>
      </c>
      <c r="B109" s="3" t="str">
        <f t="shared" si="10"/>
        <v>经济数学学院</v>
      </c>
      <c r="C109" s="3" t="str">
        <f>"数学分析Ⅰ（理科）"</f>
        <v>数学分析Ⅰ（理科）</v>
      </c>
      <c r="D109" s="3" t="str">
        <f t="shared" si="11"/>
        <v>通识基础课</v>
      </c>
      <c r="E109" s="3" t="str">
        <f>"陈小平"</f>
        <v>陈小平</v>
      </c>
      <c r="F109" s="3" t="str">
        <f>"白梨霏"</f>
        <v>白梨霏</v>
      </c>
      <c r="G109" s="3" t="str">
        <f>"2181202Z5009"</f>
        <v>2181202Z5009</v>
      </c>
    </row>
    <row r="110" spans="1:7" ht="15" customHeight="1">
      <c r="A110" s="3">
        <v>108</v>
      </c>
      <c r="B110" s="3" t="str">
        <f t="shared" si="10"/>
        <v>经济数学学院</v>
      </c>
      <c r="C110" s="3" t="str">
        <f>"数学分析Ⅰ（理科）"</f>
        <v>数学分析Ⅰ（理科）</v>
      </c>
      <c r="D110" s="3" t="str">
        <f t="shared" si="11"/>
        <v>通识基础课</v>
      </c>
      <c r="E110" s="3" t="str">
        <f>"陈小平"</f>
        <v>陈小平</v>
      </c>
      <c r="F110" s="3" t="str">
        <f>"陈登胜"</f>
        <v>陈登胜</v>
      </c>
      <c r="G110" s="3" t="str">
        <f>"1180202Z1005"</f>
        <v>1180202Z1005</v>
      </c>
    </row>
    <row r="111" spans="1:7" ht="15" customHeight="1">
      <c r="A111" s="3">
        <v>109</v>
      </c>
      <c r="B111" s="3" t="str">
        <f t="shared" si="10"/>
        <v>经济数学学院</v>
      </c>
      <c r="C111" s="3" t="str">
        <f>"概率论（理科）"</f>
        <v>概率论（理科）</v>
      </c>
      <c r="D111" s="3" t="str">
        <f t="shared" si="11"/>
        <v>通识基础课</v>
      </c>
      <c r="E111" s="3" t="str">
        <f>"吴小丹"</f>
        <v>吴小丹</v>
      </c>
      <c r="F111" s="3" t="str">
        <f>"王璐"</f>
        <v>王璐</v>
      </c>
      <c r="G111" s="3" t="str">
        <f>"119020201001"</f>
        <v>119020201001</v>
      </c>
    </row>
    <row r="112" spans="1:7" ht="15" customHeight="1">
      <c r="A112" s="3">
        <v>110</v>
      </c>
      <c r="B112" s="3" t="str">
        <f t="shared" si="10"/>
        <v>经济数学学院</v>
      </c>
      <c r="C112" s="3" t="str">
        <f>"概率论（理科）"</f>
        <v>概率论（理科）</v>
      </c>
      <c r="D112" s="3" t="str">
        <f t="shared" si="11"/>
        <v>通识基础课</v>
      </c>
      <c r="E112" s="3" t="str">
        <f>"吴小丹"</f>
        <v>吴小丹</v>
      </c>
      <c r="F112" s="3" t="str">
        <f>"荣思诗"</f>
        <v>荣思诗</v>
      </c>
      <c r="G112" s="3" t="str">
        <f>"117020203004"</f>
        <v>117020203004</v>
      </c>
    </row>
    <row r="113" spans="1:7" ht="15" customHeight="1">
      <c r="A113" s="3">
        <v>111</v>
      </c>
      <c r="B113" s="3" t="str">
        <f aca="true" t="shared" si="12" ref="B113:B144">"经济数学学院"</f>
        <v>经济数学学院</v>
      </c>
      <c r="C113" s="3" t="str">
        <f>"概率论（理科）"</f>
        <v>概率论（理科）</v>
      </c>
      <c r="D113" s="3" t="str">
        <f t="shared" si="11"/>
        <v>通识基础课</v>
      </c>
      <c r="E113" s="3" t="str">
        <f>"吴小丹"</f>
        <v>吴小丹</v>
      </c>
      <c r="F113" s="3" t="str">
        <f>"黄莎莎"</f>
        <v>黄莎莎</v>
      </c>
      <c r="G113" s="3" t="str">
        <f>"1191201J3002"</f>
        <v>1191201J3002</v>
      </c>
    </row>
    <row r="114" spans="1:7" ht="15" customHeight="1">
      <c r="A114" s="3">
        <v>112</v>
      </c>
      <c r="B114" s="3" t="str">
        <f t="shared" si="12"/>
        <v>经济数学学院</v>
      </c>
      <c r="C114" s="3" t="str">
        <f>"数值分析"</f>
        <v>数值分析</v>
      </c>
      <c r="D114" s="3" t="str">
        <f>"大学科基础课"</f>
        <v>大学科基础课</v>
      </c>
      <c r="E114" s="3" t="str">
        <f>"陈善镇"</f>
        <v>陈善镇</v>
      </c>
      <c r="F114" s="3" t="str">
        <f>"杜谦"</f>
        <v>杜谦</v>
      </c>
      <c r="G114" s="3" t="str">
        <f>"217070100002"</f>
        <v>217070100002</v>
      </c>
    </row>
    <row r="115" spans="1:7" ht="15" customHeight="1">
      <c r="A115" s="3">
        <v>113</v>
      </c>
      <c r="B115" s="3" t="str">
        <f t="shared" si="12"/>
        <v>经济数学学院</v>
      </c>
      <c r="C115" s="3" t="str">
        <f>"高等代数Ⅰ"</f>
        <v>高等代数Ⅰ</v>
      </c>
      <c r="D115" s="3" t="str">
        <f aca="true" t="shared" si="13" ref="D115:D125">"通识基础课"</f>
        <v>通识基础课</v>
      </c>
      <c r="E115" s="3" t="str">
        <f>"于翔"</f>
        <v>于翔</v>
      </c>
      <c r="F115" s="3" t="str">
        <f>"黄雪梅"</f>
        <v>黄雪梅</v>
      </c>
      <c r="G115" s="3" t="str">
        <f>"219120301002"</f>
        <v>219120301002</v>
      </c>
    </row>
    <row r="116" spans="1:7" ht="15" customHeight="1">
      <c r="A116" s="3">
        <v>114</v>
      </c>
      <c r="B116" s="3" t="str">
        <f t="shared" si="12"/>
        <v>经济数学学院</v>
      </c>
      <c r="C116" s="3" t="str">
        <f>"概率论（理科）"</f>
        <v>概率论（理科）</v>
      </c>
      <c r="D116" s="3" t="str">
        <f t="shared" si="13"/>
        <v>通识基础课</v>
      </c>
      <c r="E116" s="3" t="str">
        <f>"李绍文"</f>
        <v>李绍文</v>
      </c>
      <c r="F116" s="3" t="str">
        <f>"严钰童"</f>
        <v>严钰童</v>
      </c>
      <c r="G116" s="3" t="str">
        <f>"118120204003"</f>
        <v>118120204003</v>
      </c>
    </row>
    <row r="117" spans="1:7" ht="15" customHeight="1">
      <c r="A117" s="3">
        <v>115</v>
      </c>
      <c r="B117" s="3" t="str">
        <f t="shared" si="12"/>
        <v>经济数学学院</v>
      </c>
      <c r="C117" s="3" t="str">
        <f>"概率论（理科）"</f>
        <v>概率论（理科）</v>
      </c>
      <c r="D117" s="3" t="str">
        <f t="shared" si="13"/>
        <v>通识基础课</v>
      </c>
      <c r="E117" s="3" t="str">
        <f>"徐凤"</f>
        <v>徐凤</v>
      </c>
      <c r="F117" s="3" t="str">
        <f>"赵兴华"</f>
        <v>赵兴华</v>
      </c>
      <c r="G117" s="3" t="str">
        <f>"219071400010"</f>
        <v>219071400010</v>
      </c>
    </row>
    <row r="118" spans="1:7" ht="15" customHeight="1">
      <c r="A118" s="3">
        <v>116</v>
      </c>
      <c r="B118" s="3" t="str">
        <f t="shared" si="12"/>
        <v>经济数学学院</v>
      </c>
      <c r="C118" s="3" t="str">
        <f>"数学分析Ⅰ（理科）"</f>
        <v>数学分析Ⅰ（理科）</v>
      </c>
      <c r="D118" s="3" t="str">
        <f t="shared" si="13"/>
        <v>通识基础课</v>
      </c>
      <c r="E118" s="3" t="str">
        <f>"方敏"</f>
        <v>方敏</v>
      </c>
      <c r="F118" s="3" t="str">
        <f>"戴欣燃"</f>
        <v>戴欣燃</v>
      </c>
      <c r="G118" s="3" t="str">
        <f>"2190202Z1014"</f>
        <v>2190202Z1014</v>
      </c>
    </row>
    <row r="119" spans="1:7" ht="15" customHeight="1">
      <c r="A119" s="3">
        <v>117</v>
      </c>
      <c r="B119" s="3" t="str">
        <f t="shared" si="12"/>
        <v>经济数学学院</v>
      </c>
      <c r="C119" s="3" t="str">
        <f>"数学分析Ⅰ（理科）"</f>
        <v>数学分析Ⅰ（理科）</v>
      </c>
      <c r="D119" s="3" t="str">
        <f t="shared" si="13"/>
        <v>通识基础课</v>
      </c>
      <c r="E119" s="3" t="str">
        <f>"方敏"</f>
        <v>方敏</v>
      </c>
      <c r="F119" s="3" t="str">
        <f>"顾云"</f>
        <v>顾云</v>
      </c>
      <c r="G119" s="3" t="str">
        <f>"117020204018"</f>
        <v>117020204018</v>
      </c>
    </row>
    <row r="120" spans="1:7" ht="15" customHeight="1">
      <c r="A120" s="3">
        <v>118</v>
      </c>
      <c r="B120" s="3" t="str">
        <f t="shared" si="12"/>
        <v>经济数学学院</v>
      </c>
      <c r="C120" s="3" t="str">
        <f>"高等数学Ⅰ"</f>
        <v>高等数学Ⅰ</v>
      </c>
      <c r="D120" s="3" t="str">
        <f t="shared" si="13"/>
        <v>通识基础课</v>
      </c>
      <c r="E120" s="3" t="str">
        <f>"谢果"</f>
        <v>谢果</v>
      </c>
      <c r="F120" s="3" t="str">
        <f>"陈灵杉"</f>
        <v>陈灵杉</v>
      </c>
      <c r="G120" s="3" t="str">
        <f>"218020206025"</f>
        <v>218020206025</v>
      </c>
    </row>
    <row r="121" spans="1:7" ht="15" customHeight="1">
      <c r="A121" s="3">
        <v>119</v>
      </c>
      <c r="B121" s="3" t="str">
        <f t="shared" si="12"/>
        <v>经济数学学院</v>
      </c>
      <c r="C121" s="3" t="str">
        <f>"高等数学Ⅰ"</f>
        <v>高等数学Ⅰ</v>
      </c>
      <c r="D121" s="3" t="str">
        <f t="shared" si="13"/>
        <v>通识基础课</v>
      </c>
      <c r="E121" s="3" t="str">
        <f>"谢果"</f>
        <v>谢果</v>
      </c>
      <c r="F121" s="3" t="str">
        <f>"黄金"</f>
        <v>黄金</v>
      </c>
      <c r="G121" s="3" t="str">
        <f>"119020104012"</f>
        <v>119020104012</v>
      </c>
    </row>
    <row r="122" spans="1:7" ht="15" customHeight="1">
      <c r="A122" s="3">
        <v>120</v>
      </c>
      <c r="B122" s="3" t="str">
        <f t="shared" si="12"/>
        <v>经济数学学院</v>
      </c>
      <c r="C122" s="3" t="str">
        <f>"数学分析I（英文）"</f>
        <v>数学分析I（英文）</v>
      </c>
      <c r="D122" s="3" t="str">
        <f t="shared" si="13"/>
        <v>通识基础课</v>
      </c>
      <c r="E122" s="3" t="str">
        <f>"郭训香"</f>
        <v>郭训香</v>
      </c>
      <c r="F122" s="3" t="str">
        <f>"张小平"</f>
        <v>张小平</v>
      </c>
      <c r="G122" s="3" t="str">
        <f>"219070100007"</f>
        <v>219070100007</v>
      </c>
    </row>
    <row r="123" spans="1:7" ht="15" customHeight="1">
      <c r="A123" s="3">
        <v>121</v>
      </c>
      <c r="B123" s="3" t="str">
        <f t="shared" si="12"/>
        <v>经济数学学院</v>
      </c>
      <c r="C123" s="3" t="str">
        <f>"数学分析I（英文）"</f>
        <v>数学分析I（英文）</v>
      </c>
      <c r="D123" s="3" t="str">
        <f t="shared" si="13"/>
        <v>通识基础课</v>
      </c>
      <c r="E123" s="3" t="str">
        <f>"郭训香"</f>
        <v>郭训香</v>
      </c>
      <c r="F123" s="3" t="str">
        <f>"黄守德"</f>
        <v>黄守德</v>
      </c>
      <c r="G123" s="3" t="str">
        <f>"1160202Z1008"</f>
        <v>1160202Z1008</v>
      </c>
    </row>
    <row r="124" spans="1:7" ht="15" customHeight="1">
      <c r="A124" s="3">
        <v>122</v>
      </c>
      <c r="B124" s="3" t="str">
        <f t="shared" si="12"/>
        <v>经济数学学院</v>
      </c>
      <c r="C124" s="3" t="str">
        <f>"高等代数Ⅰ"</f>
        <v>高等代数Ⅰ</v>
      </c>
      <c r="D124" s="3" t="str">
        <f t="shared" si="13"/>
        <v>通识基础课</v>
      </c>
      <c r="E124" s="3" t="str">
        <f>"朱胜坤"</f>
        <v>朱胜坤</v>
      </c>
      <c r="F124" s="3" t="str">
        <f>"范渝蓉"</f>
        <v>范渝蓉</v>
      </c>
      <c r="G124" s="3" t="str">
        <f>"219070100005"</f>
        <v>219070100005</v>
      </c>
    </row>
    <row r="125" spans="1:7" ht="15" customHeight="1">
      <c r="A125" s="3">
        <v>123</v>
      </c>
      <c r="B125" s="3" t="str">
        <f t="shared" si="12"/>
        <v>经济数学学院</v>
      </c>
      <c r="C125" s="3" t="str">
        <f>"高等代数Ⅰ"</f>
        <v>高等代数Ⅰ</v>
      </c>
      <c r="D125" s="3" t="str">
        <f t="shared" si="13"/>
        <v>通识基础课</v>
      </c>
      <c r="E125" s="3" t="str">
        <f>"朱胜坤"</f>
        <v>朱胜坤</v>
      </c>
      <c r="F125" s="3" t="str">
        <f>"彭扬"</f>
        <v>彭扬</v>
      </c>
      <c r="G125" s="3" t="str">
        <f>"118120100002"</f>
        <v>118120100002</v>
      </c>
    </row>
    <row r="126" spans="1:7" ht="15" customHeight="1">
      <c r="A126" s="3">
        <v>124</v>
      </c>
      <c r="B126" s="3" t="str">
        <f t="shared" si="12"/>
        <v>经济数学学院</v>
      </c>
      <c r="C126" s="3" t="str">
        <f>"线性代数MOOC"</f>
        <v>线性代数MOOC</v>
      </c>
      <c r="D126" s="3" t="str">
        <f>"慕课"</f>
        <v>慕课</v>
      </c>
      <c r="E126" s="3" t="str">
        <f>"韩本三"</f>
        <v>韩本三</v>
      </c>
      <c r="F126" s="3" t="str">
        <f>"张佳"</f>
        <v>张佳</v>
      </c>
      <c r="G126" s="3" t="str">
        <f>"218020105003"</f>
        <v>218020105003</v>
      </c>
    </row>
    <row r="127" spans="1:7" ht="15" customHeight="1">
      <c r="A127" s="3">
        <v>125</v>
      </c>
      <c r="B127" s="3" t="str">
        <f t="shared" si="12"/>
        <v>经济数学学院</v>
      </c>
      <c r="C127" s="3" t="str">
        <f>"高等代数Ⅰ"</f>
        <v>高等代数Ⅰ</v>
      </c>
      <c r="D127" s="3" t="str">
        <f>"通识基础课"</f>
        <v>通识基础课</v>
      </c>
      <c r="E127" s="3" t="str">
        <f>"韩本三"</f>
        <v>韩本三</v>
      </c>
      <c r="F127" s="3" t="str">
        <f>"易荷玲"</f>
        <v>易荷玲</v>
      </c>
      <c r="G127" s="3" t="str">
        <f>"2180202Z1025"</f>
        <v>2180202Z1025</v>
      </c>
    </row>
    <row r="128" spans="1:7" ht="15" customHeight="1">
      <c r="A128" s="3">
        <v>126</v>
      </c>
      <c r="B128" s="3" t="str">
        <f t="shared" si="12"/>
        <v>经济数学学院</v>
      </c>
      <c r="C128" s="3" t="str">
        <f>"高等代数Ⅰ"</f>
        <v>高等代数Ⅰ</v>
      </c>
      <c r="D128" s="3" t="str">
        <f>"通识基础课"</f>
        <v>通识基础课</v>
      </c>
      <c r="E128" s="3" t="str">
        <f>"韩本三"</f>
        <v>韩本三</v>
      </c>
      <c r="F128" s="3" t="str">
        <f>"陈灵芝"</f>
        <v>陈灵芝</v>
      </c>
      <c r="G128" s="3" t="str">
        <f>"218020105007"</f>
        <v>218020105007</v>
      </c>
    </row>
    <row r="129" spans="1:7" ht="15" customHeight="1">
      <c r="A129" s="3">
        <v>127</v>
      </c>
      <c r="B129" s="3" t="str">
        <f t="shared" si="12"/>
        <v>经济数学学院</v>
      </c>
      <c r="C129" s="3" t="str">
        <f>"高等代数Ⅰ"</f>
        <v>高等代数Ⅰ</v>
      </c>
      <c r="D129" s="3" t="str">
        <f>"通识基础课"</f>
        <v>通识基础课</v>
      </c>
      <c r="E129" s="3" t="str">
        <f>"韩本三"</f>
        <v>韩本三</v>
      </c>
      <c r="F129" s="3" t="str">
        <f>"熊倩倩"</f>
        <v>熊倩倩</v>
      </c>
      <c r="G129" s="3" t="str">
        <f>"119020104002"</f>
        <v>119020104002</v>
      </c>
    </row>
    <row r="130" spans="1:7" ht="15" customHeight="1">
      <c r="A130" s="3">
        <v>128</v>
      </c>
      <c r="B130" s="3" t="str">
        <f t="shared" si="12"/>
        <v>经济数学学院</v>
      </c>
      <c r="C130" s="3" t="str">
        <f>"高等代数Ⅰ"</f>
        <v>高等代数Ⅰ</v>
      </c>
      <c r="D130" s="3" t="str">
        <f>"通识基础课"</f>
        <v>通识基础课</v>
      </c>
      <c r="E130" s="3" t="str">
        <f>"韩本三"</f>
        <v>韩本三</v>
      </c>
      <c r="F130" s="3" t="str">
        <f>"张伟"</f>
        <v>张伟</v>
      </c>
      <c r="G130" s="3" t="str">
        <f>"118120204004"</f>
        <v>118120204004</v>
      </c>
    </row>
    <row r="131" spans="1:7" ht="15" customHeight="1">
      <c r="A131" s="3">
        <v>129</v>
      </c>
      <c r="B131" s="3" t="str">
        <f t="shared" si="12"/>
        <v>经济数学学院</v>
      </c>
      <c r="C131" s="3" t="str">
        <f>"概率论（理科）"</f>
        <v>概率论（理科）</v>
      </c>
      <c r="D131" s="3" t="str">
        <f>"通识基础课"</f>
        <v>通识基础课</v>
      </c>
      <c r="E131" s="3" t="str">
        <f>"骆川义"</f>
        <v>骆川义</v>
      </c>
      <c r="F131" s="3" t="str">
        <f>"张瑶"</f>
        <v>张瑶</v>
      </c>
      <c r="G131" s="3" t="str">
        <f>"218120100015"</f>
        <v>218120100015</v>
      </c>
    </row>
    <row r="132" spans="1:7" ht="15" customHeight="1">
      <c r="A132" s="3">
        <v>130</v>
      </c>
      <c r="B132" s="3" t="str">
        <f t="shared" si="12"/>
        <v>经济数学学院</v>
      </c>
      <c r="C132" s="3" t="str">
        <f>"随机过程"</f>
        <v>随机过程</v>
      </c>
      <c r="D132" s="3" t="str">
        <f>"大学科基础课"</f>
        <v>大学科基础课</v>
      </c>
      <c r="E132" s="3" t="str">
        <f>"骆川义"</f>
        <v>骆川义</v>
      </c>
      <c r="F132" s="3" t="str">
        <f>"王一伕"</f>
        <v>王一伕</v>
      </c>
      <c r="G132" s="3" t="str">
        <f>"119020209002"</f>
        <v>119020209002</v>
      </c>
    </row>
    <row r="133" spans="1:7" ht="15" customHeight="1">
      <c r="A133" s="3">
        <v>131</v>
      </c>
      <c r="B133" s="3" t="str">
        <f t="shared" si="12"/>
        <v>经济数学学院</v>
      </c>
      <c r="C133" s="3" t="str">
        <f>"概率论（理科）"</f>
        <v>概率论（理科）</v>
      </c>
      <c r="D133" s="3" t="str">
        <f>"通识基础课"</f>
        <v>通识基础课</v>
      </c>
      <c r="E133" s="3" t="str">
        <f>"骆川义"</f>
        <v>骆川义</v>
      </c>
      <c r="F133" s="3" t="str">
        <f>"赵忠荀"</f>
        <v>赵忠荀</v>
      </c>
      <c r="G133" s="3" t="str">
        <f>"218020208034"</f>
        <v>218020208034</v>
      </c>
    </row>
    <row r="134" spans="1:7" ht="15" customHeight="1">
      <c r="A134" s="3">
        <v>132</v>
      </c>
      <c r="B134" s="3" t="str">
        <f t="shared" si="12"/>
        <v>经济数学学院</v>
      </c>
      <c r="C134" s="3" t="str">
        <f>"概率论（理科）"</f>
        <v>概率论（理科）</v>
      </c>
      <c r="D134" s="3" t="str">
        <f>"通识基础课"</f>
        <v>通识基础课</v>
      </c>
      <c r="E134" s="3" t="str">
        <f>"赖绍永"</f>
        <v>赖绍永</v>
      </c>
      <c r="F134" s="3" t="str">
        <f>"蒯依澄"</f>
        <v>蒯依澄</v>
      </c>
      <c r="G134" s="3" t="str">
        <f>"119020204055"</f>
        <v>119020204055</v>
      </c>
    </row>
    <row r="135" spans="1:7" ht="15" customHeight="1">
      <c r="A135" s="3">
        <v>133</v>
      </c>
      <c r="B135" s="3" t="str">
        <f t="shared" si="12"/>
        <v>经济数学学院</v>
      </c>
      <c r="C135" s="3" t="str">
        <f>"概率论（理科）"</f>
        <v>概率论（理科）</v>
      </c>
      <c r="D135" s="3" t="str">
        <f>"通识基础课"</f>
        <v>通识基础课</v>
      </c>
      <c r="E135" s="3" t="str">
        <f>"赖绍永"</f>
        <v>赖绍永</v>
      </c>
      <c r="F135" s="3" t="str">
        <f>"严苑云"</f>
        <v>严苑云</v>
      </c>
      <c r="G135" s="3" t="str">
        <f>"119020204056"</f>
        <v>119020204056</v>
      </c>
    </row>
    <row r="136" spans="1:7" ht="15" customHeight="1">
      <c r="A136" s="3">
        <v>134</v>
      </c>
      <c r="B136" s="3" t="str">
        <f t="shared" si="12"/>
        <v>经济数学学院</v>
      </c>
      <c r="C136" s="3" t="str">
        <f>"高等数学Ⅰ"</f>
        <v>高等数学Ⅰ</v>
      </c>
      <c r="D136" s="3" t="str">
        <f>"自由选修课"</f>
        <v>自由选修课</v>
      </c>
      <c r="E136" s="3" t="str">
        <f>"朱文莉"</f>
        <v>朱文莉</v>
      </c>
      <c r="F136" s="3" t="str">
        <f>"曹剑秋"</f>
        <v>曹剑秋</v>
      </c>
      <c r="G136" s="3" t="str">
        <f>"219020204013"</f>
        <v>219020204013</v>
      </c>
    </row>
    <row r="137" spans="1:7" ht="15" customHeight="1">
      <c r="A137" s="3">
        <v>135</v>
      </c>
      <c r="B137" s="3" t="str">
        <f t="shared" si="12"/>
        <v>经济数学学院</v>
      </c>
      <c r="C137" s="3" t="str">
        <f>"高等数学MOOC"</f>
        <v>高等数学MOOC</v>
      </c>
      <c r="D137" s="3" t="str">
        <f>"慕课"</f>
        <v>慕课</v>
      </c>
      <c r="E137" s="3" t="str">
        <f>"朱文莉"</f>
        <v>朱文莉</v>
      </c>
      <c r="F137" s="3" t="str">
        <f>"王彦锋"</f>
        <v>王彦锋</v>
      </c>
      <c r="G137" s="3" t="str">
        <f>"117020209001"</f>
        <v>117020209001</v>
      </c>
    </row>
    <row r="138" spans="1:7" ht="15" customHeight="1">
      <c r="A138" s="3">
        <v>136</v>
      </c>
      <c r="B138" s="3" t="str">
        <f t="shared" si="12"/>
        <v>经济数学学院</v>
      </c>
      <c r="C138" s="3" t="str">
        <f>"高等数学Ⅰ"</f>
        <v>高等数学Ⅰ</v>
      </c>
      <c r="D138" s="3" t="str">
        <f aca="true" t="shared" si="14" ref="D138:D143">"通识基础课"</f>
        <v>通识基础课</v>
      </c>
      <c r="E138" s="3" t="str">
        <f>"朱文莉"</f>
        <v>朱文莉</v>
      </c>
      <c r="F138" s="3" t="str">
        <f>"安禄丰"</f>
        <v>安禄丰</v>
      </c>
      <c r="G138" s="3" t="str">
        <f>"119020105002"</f>
        <v>119020105002</v>
      </c>
    </row>
    <row r="139" spans="1:7" ht="15" customHeight="1">
      <c r="A139" s="3">
        <v>137</v>
      </c>
      <c r="B139" s="3" t="str">
        <f t="shared" si="12"/>
        <v>经济数学学院</v>
      </c>
      <c r="C139" s="3" t="str">
        <f>"高等数学Ⅰ"</f>
        <v>高等数学Ⅰ</v>
      </c>
      <c r="D139" s="3" t="str">
        <f t="shared" si="14"/>
        <v>通识基础课</v>
      </c>
      <c r="E139" s="3" t="str">
        <f>"朱文莉"</f>
        <v>朱文莉</v>
      </c>
      <c r="F139" s="3" t="str">
        <f>"张玥"</f>
        <v>张玥</v>
      </c>
      <c r="G139" s="3" t="str">
        <f>"2190202Z6020"</f>
        <v>2190202Z6020</v>
      </c>
    </row>
    <row r="140" spans="1:7" ht="15" customHeight="1">
      <c r="A140" s="3">
        <v>138</v>
      </c>
      <c r="B140" s="3" t="str">
        <f t="shared" si="12"/>
        <v>经济数学学院</v>
      </c>
      <c r="C140" s="3" t="str">
        <f>"机器学习数学基础"</f>
        <v>机器学习数学基础</v>
      </c>
      <c r="D140" s="3" t="str">
        <f t="shared" si="14"/>
        <v>通识基础课</v>
      </c>
      <c r="E140" s="3" t="str">
        <f>"顾先明"</f>
        <v>顾先明</v>
      </c>
      <c r="F140" s="3" t="str">
        <f>"黄钰云"</f>
        <v>黄钰云</v>
      </c>
      <c r="G140" s="3" t="str">
        <f>"219070100003"</f>
        <v>219070100003</v>
      </c>
    </row>
    <row r="141" spans="1:7" ht="15" customHeight="1">
      <c r="A141" s="3">
        <v>139</v>
      </c>
      <c r="B141" s="3" t="str">
        <f t="shared" si="12"/>
        <v>经济数学学院</v>
      </c>
      <c r="C141" s="3" t="str">
        <f>"机器学习数学基础"</f>
        <v>机器学习数学基础</v>
      </c>
      <c r="D141" s="3" t="str">
        <f t="shared" si="14"/>
        <v>通识基础课</v>
      </c>
      <c r="E141" s="3" t="str">
        <f>"顾先明"</f>
        <v>顾先明</v>
      </c>
      <c r="F141" s="3" t="str">
        <f>"万小燕"</f>
        <v>万小燕</v>
      </c>
      <c r="G141" s="3" t="str">
        <f>"219070100013"</f>
        <v>219070100013</v>
      </c>
    </row>
    <row r="142" spans="1:7" ht="15" customHeight="1">
      <c r="A142" s="3">
        <v>140</v>
      </c>
      <c r="B142" s="3" t="str">
        <f t="shared" si="12"/>
        <v>经济数学学院</v>
      </c>
      <c r="C142" s="3" t="str">
        <f>"数学分析Ⅰ（理科）"</f>
        <v>数学分析Ⅰ（理科）</v>
      </c>
      <c r="D142" s="3" t="str">
        <f t="shared" si="14"/>
        <v>通识基础课</v>
      </c>
      <c r="E142" s="3" t="str">
        <f>"邓汝良"</f>
        <v>邓汝良</v>
      </c>
      <c r="F142" s="3" t="str">
        <f>"张涵"</f>
        <v>张涵</v>
      </c>
      <c r="G142" s="3" t="str">
        <f>"2190202Z2013"</f>
        <v>2190202Z2013</v>
      </c>
    </row>
    <row r="143" spans="1:7" ht="15" customHeight="1">
      <c r="A143" s="3">
        <v>141</v>
      </c>
      <c r="B143" s="3" t="str">
        <f t="shared" si="12"/>
        <v>经济数学学院</v>
      </c>
      <c r="C143" s="3" t="str">
        <f>"数学分析Ⅰ（理科）"</f>
        <v>数学分析Ⅰ（理科）</v>
      </c>
      <c r="D143" s="3" t="str">
        <f t="shared" si="14"/>
        <v>通识基础课</v>
      </c>
      <c r="E143" s="3" t="str">
        <f>"邓汝良"</f>
        <v>邓汝良</v>
      </c>
      <c r="F143" s="3" t="str">
        <f>"唐韬"</f>
        <v>唐韬</v>
      </c>
      <c r="G143" s="3" t="str">
        <f>"218020204076"</f>
        <v>218020204076</v>
      </c>
    </row>
    <row r="144" spans="1:7" ht="15" customHeight="1">
      <c r="A144" s="3">
        <v>142</v>
      </c>
      <c r="B144" s="3" t="str">
        <f t="shared" si="12"/>
        <v>经济数学学院</v>
      </c>
      <c r="C144" s="3" t="str">
        <f>"数学分析Ⅲ（理科）"</f>
        <v>数学分析Ⅲ（理科）</v>
      </c>
      <c r="D144" s="3" t="str">
        <f>"大学科基础课"</f>
        <v>大学科基础课</v>
      </c>
      <c r="E144" s="3" t="str">
        <f>"尹正"</f>
        <v>尹正</v>
      </c>
      <c r="F144" s="3" t="str">
        <f>"亢晶浩"</f>
        <v>亢晶浩</v>
      </c>
      <c r="G144" s="3" t="str">
        <f>"118020209002"</f>
        <v>118020209002</v>
      </c>
    </row>
    <row r="145" spans="1:7" ht="15" customHeight="1">
      <c r="A145" s="3">
        <v>143</v>
      </c>
      <c r="B145" s="3" t="str">
        <f aca="true" t="shared" si="15" ref="B145:B165">"经济数学学院"</f>
        <v>经济数学学院</v>
      </c>
      <c r="C145" s="3" t="str">
        <f>"数学分析Ⅰ（理科）"</f>
        <v>数学分析Ⅰ（理科）</v>
      </c>
      <c r="D145" s="3" t="str">
        <f>"通识基础课"</f>
        <v>通识基础课</v>
      </c>
      <c r="E145" s="3" t="str">
        <f>"尹正"</f>
        <v>尹正</v>
      </c>
      <c r="F145" s="3" t="str">
        <f>"何凯"</f>
        <v>何凯</v>
      </c>
      <c r="G145" s="3" t="str">
        <f>"119120100002"</f>
        <v>119120100002</v>
      </c>
    </row>
    <row r="146" spans="1:7" ht="15" customHeight="1">
      <c r="A146" s="3">
        <v>144</v>
      </c>
      <c r="B146" s="3" t="str">
        <f t="shared" si="15"/>
        <v>经济数学学院</v>
      </c>
      <c r="C146" s="3" t="str">
        <f>"数学分析Ⅲ（理科）"</f>
        <v>数学分析Ⅲ（理科）</v>
      </c>
      <c r="D146" s="3" t="str">
        <f>"大学科基础课"</f>
        <v>大学科基础课</v>
      </c>
      <c r="E146" s="3" t="str">
        <f>"尹正"</f>
        <v>尹正</v>
      </c>
      <c r="F146" s="3" t="str">
        <f>"田金寰"</f>
        <v>田金寰</v>
      </c>
      <c r="G146" s="3" t="str">
        <f>"119020204061"</f>
        <v>119020204061</v>
      </c>
    </row>
    <row r="147" spans="1:7" ht="15" customHeight="1">
      <c r="A147" s="3">
        <v>145</v>
      </c>
      <c r="B147" s="3" t="str">
        <f t="shared" si="15"/>
        <v>经济数学学院</v>
      </c>
      <c r="C147" s="3" t="str">
        <f>"数学分析Ⅰ（理科）"</f>
        <v>数学分析Ⅰ（理科）</v>
      </c>
      <c r="D147" s="3" t="str">
        <f aca="true" t="shared" si="16" ref="D147:D165">"通识基础课"</f>
        <v>通识基础课</v>
      </c>
      <c r="E147" s="3" t="str">
        <f>"尹正"</f>
        <v>尹正</v>
      </c>
      <c r="F147" s="3" t="str">
        <f>"王子衿"</f>
        <v>王子衿</v>
      </c>
      <c r="G147" s="3" t="str">
        <f>"1190202Z1006"</f>
        <v>1190202Z1006</v>
      </c>
    </row>
    <row r="148" spans="1:7" ht="15" customHeight="1">
      <c r="A148" s="3">
        <v>146</v>
      </c>
      <c r="B148" s="3" t="str">
        <f t="shared" si="15"/>
        <v>经济数学学院</v>
      </c>
      <c r="C148" s="3" t="str">
        <f>"概率论（理科）"</f>
        <v>概率论（理科）</v>
      </c>
      <c r="D148" s="3" t="str">
        <f t="shared" si="16"/>
        <v>通识基础课</v>
      </c>
      <c r="E148" s="3" t="str">
        <f>"岳佳"</f>
        <v>岳佳</v>
      </c>
      <c r="F148" s="3" t="str">
        <f>"徐雍"</f>
        <v>徐雍</v>
      </c>
      <c r="G148" s="3" t="str">
        <f>"117120195004"</f>
        <v>117120195004</v>
      </c>
    </row>
    <row r="149" spans="1:7" ht="15" customHeight="1">
      <c r="A149" s="3">
        <v>147</v>
      </c>
      <c r="B149" s="3" t="str">
        <f t="shared" si="15"/>
        <v>经济数学学院</v>
      </c>
      <c r="C149" s="3" t="str">
        <f>"概率论（理科）"</f>
        <v>概率论（理科）</v>
      </c>
      <c r="D149" s="3" t="str">
        <f t="shared" si="16"/>
        <v>通识基础课</v>
      </c>
      <c r="E149" s="3" t="str">
        <f>"岳佳"</f>
        <v>岳佳</v>
      </c>
      <c r="F149" s="3" t="str">
        <f>"赵瑞"</f>
        <v>赵瑞</v>
      </c>
      <c r="G149" s="3" t="str">
        <f>"119020204058"</f>
        <v>119020204058</v>
      </c>
    </row>
    <row r="150" spans="1:7" ht="15" customHeight="1">
      <c r="A150" s="3">
        <v>148</v>
      </c>
      <c r="B150" s="3" t="str">
        <f t="shared" si="15"/>
        <v>经济数学学院</v>
      </c>
      <c r="C150" s="3" t="str">
        <f>"高等代数Ⅰ"</f>
        <v>高等代数Ⅰ</v>
      </c>
      <c r="D150" s="3" t="str">
        <f t="shared" si="16"/>
        <v>通识基础课</v>
      </c>
      <c r="E150" s="3" t="str">
        <f>"林可"</f>
        <v>林可</v>
      </c>
      <c r="F150" s="3" t="str">
        <f>"王浩瀚"</f>
        <v>王浩瀚</v>
      </c>
      <c r="G150" s="3" t="str">
        <f>"119020204008"</f>
        <v>119020204008</v>
      </c>
    </row>
    <row r="151" spans="1:7" ht="15" customHeight="1">
      <c r="A151" s="3">
        <v>149</v>
      </c>
      <c r="B151" s="3" t="str">
        <f t="shared" si="15"/>
        <v>经济数学学院</v>
      </c>
      <c r="C151" s="3" t="str">
        <f>"数学分析Ⅰ（理科）"</f>
        <v>数学分析Ⅰ（理科）</v>
      </c>
      <c r="D151" s="3" t="str">
        <f t="shared" si="16"/>
        <v>通识基础课</v>
      </c>
      <c r="E151" s="3" t="str">
        <f>"张具明"</f>
        <v>张具明</v>
      </c>
      <c r="F151" s="3" t="str">
        <f>"曹洁"</f>
        <v>曹洁</v>
      </c>
      <c r="G151" s="3" t="str">
        <f>"218020105008"</f>
        <v>218020105008</v>
      </c>
    </row>
    <row r="152" spans="1:7" ht="15" customHeight="1">
      <c r="A152" s="3">
        <v>150</v>
      </c>
      <c r="B152" s="3" t="str">
        <f t="shared" si="15"/>
        <v>经济数学学院</v>
      </c>
      <c r="C152" s="3" t="str">
        <f>"数学分析Ⅰ（理科）"</f>
        <v>数学分析Ⅰ（理科）</v>
      </c>
      <c r="D152" s="3" t="str">
        <f t="shared" si="16"/>
        <v>通识基础课</v>
      </c>
      <c r="E152" s="3" t="str">
        <f>"张具明"</f>
        <v>张具明</v>
      </c>
      <c r="F152" s="3" t="str">
        <f>"吴秀琴"</f>
        <v>吴秀琴</v>
      </c>
      <c r="G152" s="3" t="str">
        <f>"1180201Z2001"</f>
        <v>1180201Z2001</v>
      </c>
    </row>
    <row r="153" spans="1:7" ht="15" customHeight="1">
      <c r="A153" s="3">
        <v>151</v>
      </c>
      <c r="B153" s="3" t="str">
        <f t="shared" si="15"/>
        <v>经济数学学院</v>
      </c>
      <c r="C153" s="3" t="str">
        <f>"数学分析Ⅰ（理科）"</f>
        <v>数学分析Ⅰ（理科）</v>
      </c>
      <c r="D153" s="3" t="str">
        <f t="shared" si="16"/>
        <v>通识基础课</v>
      </c>
      <c r="E153" s="3" t="str">
        <f>"张具明"</f>
        <v>张具明</v>
      </c>
      <c r="F153" s="3" t="str">
        <f>"李星皓"</f>
        <v>李星皓</v>
      </c>
      <c r="G153" s="3" t="str">
        <f>"1190201Z2002"</f>
        <v>1190201Z2002</v>
      </c>
    </row>
    <row r="154" spans="1:7" ht="15" customHeight="1">
      <c r="A154" s="3">
        <v>152</v>
      </c>
      <c r="B154" s="3" t="str">
        <f t="shared" si="15"/>
        <v>经济数学学院</v>
      </c>
      <c r="C154" s="3" t="str">
        <f>"高等代数Ⅰ"</f>
        <v>高等代数Ⅰ</v>
      </c>
      <c r="D154" s="3" t="str">
        <f t="shared" si="16"/>
        <v>通识基础课</v>
      </c>
      <c r="E154" s="3" t="str">
        <f>"向开理"</f>
        <v>向开理</v>
      </c>
      <c r="F154" s="3" t="str">
        <f>"赵萍萍"</f>
        <v>赵萍萍</v>
      </c>
      <c r="G154" s="3" t="str">
        <f>"1180202Z1012"</f>
        <v>1180202Z1012</v>
      </c>
    </row>
    <row r="155" spans="1:7" ht="15" customHeight="1">
      <c r="A155" s="3">
        <v>153</v>
      </c>
      <c r="B155" s="3" t="str">
        <f t="shared" si="15"/>
        <v>经济数学学院</v>
      </c>
      <c r="C155" s="3" t="str">
        <f>"高等代数Ⅰ"</f>
        <v>高等代数Ⅰ</v>
      </c>
      <c r="D155" s="3" t="str">
        <f t="shared" si="16"/>
        <v>通识基础课</v>
      </c>
      <c r="E155" s="3" t="str">
        <f>"向开理"</f>
        <v>向开理</v>
      </c>
      <c r="F155" s="3" t="str">
        <f>"王通"</f>
        <v>王通</v>
      </c>
      <c r="G155" s="3" t="str">
        <f>"1180202Z1008"</f>
        <v>1180202Z1008</v>
      </c>
    </row>
    <row r="156" spans="1:7" ht="15" customHeight="1">
      <c r="A156" s="3">
        <v>154</v>
      </c>
      <c r="B156" s="3" t="str">
        <f t="shared" si="15"/>
        <v>经济数学学院</v>
      </c>
      <c r="C156" s="3" t="str">
        <f>"概率论（理科）"</f>
        <v>概率论（理科）</v>
      </c>
      <c r="D156" s="3" t="str">
        <f t="shared" si="16"/>
        <v>通识基础课</v>
      </c>
      <c r="E156" s="3" t="str">
        <f>"杨扬"</f>
        <v>杨扬</v>
      </c>
      <c r="F156" s="3" t="str">
        <f>"周上琳"</f>
        <v>周上琳</v>
      </c>
      <c r="G156" s="3" t="str">
        <f>"119020104003"</f>
        <v>119020104003</v>
      </c>
    </row>
    <row r="157" spans="1:7" ht="15" customHeight="1">
      <c r="A157" s="3">
        <v>155</v>
      </c>
      <c r="B157" s="3" t="str">
        <f t="shared" si="15"/>
        <v>经济数学学院</v>
      </c>
      <c r="C157" s="3" t="str">
        <f>"概率论（理科）"</f>
        <v>概率论（理科）</v>
      </c>
      <c r="D157" s="3" t="str">
        <f t="shared" si="16"/>
        <v>通识基础课</v>
      </c>
      <c r="E157" s="3" t="str">
        <f>"杨扬"</f>
        <v>杨扬</v>
      </c>
      <c r="F157" s="3" t="str">
        <f>"冷萱"</f>
        <v>冷萱</v>
      </c>
      <c r="G157" s="3" t="str">
        <f>"218020104028"</f>
        <v>218020104028</v>
      </c>
    </row>
    <row r="158" spans="1:7" ht="15" customHeight="1">
      <c r="A158" s="3">
        <v>156</v>
      </c>
      <c r="B158" s="3" t="str">
        <f t="shared" si="15"/>
        <v>经济数学学院</v>
      </c>
      <c r="C158" s="3" t="str">
        <f>"高等数学Ⅰ"</f>
        <v>高等数学Ⅰ</v>
      </c>
      <c r="D158" s="3" t="str">
        <f t="shared" si="16"/>
        <v>通识基础课</v>
      </c>
      <c r="E158" s="3" t="str">
        <f>"王永富"</f>
        <v>王永富</v>
      </c>
      <c r="F158" s="3" t="str">
        <f>"宋柯锐"</f>
        <v>宋柯锐</v>
      </c>
      <c r="G158" s="3" t="str">
        <f>"2190202Z1022"</f>
        <v>2190202Z1022</v>
      </c>
    </row>
    <row r="159" spans="1:7" ht="15" customHeight="1">
      <c r="A159" s="3">
        <v>157</v>
      </c>
      <c r="B159" s="3" t="str">
        <f t="shared" si="15"/>
        <v>经济数学学院</v>
      </c>
      <c r="C159" s="3" t="str">
        <f>"高等数学Ⅰ"</f>
        <v>高等数学Ⅰ</v>
      </c>
      <c r="D159" s="3" t="str">
        <f t="shared" si="16"/>
        <v>通识基础课</v>
      </c>
      <c r="E159" s="3" t="str">
        <f>"王永富"</f>
        <v>王永富</v>
      </c>
      <c r="F159" s="3" t="str">
        <f>"左帅"</f>
        <v>左帅</v>
      </c>
      <c r="G159" s="3" t="str">
        <f>"2180202Z1010"</f>
        <v>2180202Z1010</v>
      </c>
    </row>
    <row r="160" spans="1:7" ht="15" customHeight="1">
      <c r="A160" s="3">
        <v>158</v>
      </c>
      <c r="B160" s="3" t="str">
        <f t="shared" si="15"/>
        <v>经济数学学院</v>
      </c>
      <c r="C160" s="3" t="str">
        <f>"高等数学Ⅰ"</f>
        <v>高等数学Ⅰ</v>
      </c>
      <c r="D160" s="3" t="str">
        <f t="shared" si="16"/>
        <v>通识基础课</v>
      </c>
      <c r="E160" s="3" t="str">
        <f>"车茂林"</f>
        <v>车茂林</v>
      </c>
      <c r="F160" s="3" t="str">
        <f>"杨文昇"</f>
        <v>杨文昇</v>
      </c>
      <c r="G160" s="3" t="str">
        <f>"1180202Z1009"</f>
        <v>1180202Z1009</v>
      </c>
    </row>
    <row r="161" spans="1:7" ht="15" customHeight="1">
      <c r="A161" s="3">
        <v>159</v>
      </c>
      <c r="B161" s="3" t="str">
        <f t="shared" si="15"/>
        <v>经济数学学院</v>
      </c>
      <c r="C161" s="3" t="str">
        <f>"高等数学Ⅰ"</f>
        <v>高等数学Ⅰ</v>
      </c>
      <c r="D161" s="3" t="str">
        <f t="shared" si="16"/>
        <v>通识基础课</v>
      </c>
      <c r="E161" s="3" t="str">
        <f>"车茂林"</f>
        <v>车茂林</v>
      </c>
      <c r="F161" s="3" t="str">
        <f>"王欢"</f>
        <v>王欢</v>
      </c>
      <c r="G161" s="3" t="str">
        <f>"2160202Z1010"</f>
        <v>2160202Z1010</v>
      </c>
    </row>
    <row r="162" spans="1:7" ht="15" customHeight="1">
      <c r="A162" s="3">
        <v>160</v>
      </c>
      <c r="B162" s="3" t="str">
        <f t="shared" si="15"/>
        <v>经济数学学院</v>
      </c>
      <c r="C162" s="3" t="str">
        <f>"高等数学Ⅰ"</f>
        <v>高等数学Ⅰ</v>
      </c>
      <c r="D162" s="3" t="str">
        <f t="shared" si="16"/>
        <v>通识基础课</v>
      </c>
      <c r="E162" s="3" t="str">
        <f>"马敬堂"</f>
        <v>马敬堂</v>
      </c>
      <c r="F162" s="3" t="str">
        <f>"吴皓斐"</f>
        <v>吴皓斐</v>
      </c>
      <c r="G162" s="3" t="str">
        <f>"218070100006"</f>
        <v>218070100006</v>
      </c>
    </row>
    <row r="163" spans="1:7" ht="15" customHeight="1">
      <c r="A163" s="3">
        <v>161</v>
      </c>
      <c r="B163" s="3" t="str">
        <f t="shared" si="15"/>
        <v>经济数学学院</v>
      </c>
      <c r="C163" s="3" t="str">
        <f>"高等代数Ⅰ"</f>
        <v>高等代数Ⅰ</v>
      </c>
      <c r="D163" s="3" t="str">
        <f t="shared" si="16"/>
        <v>通识基础课</v>
      </c>
      <c r="E163" s="3" t="str">
        <f>"张昕"</f>
        <v>张昕</v>
      </c>
      <c r="F163" s="3" t="str">
        <f>"陈莹之"</f>
        <v>陈莹之</v>
      </c>
      <c r="G163" s="3" t="str">
        <f>"219020101001"</f>
        <v>219020101001</v>
      </c>
    </row>
    <row r="164" spans="1:7" ht="15" customHeight="1">
      <c r="A164" s="3">
        <v>162</v>
      </c>
      <c r="B164" s="3" t="str">
        <f t="shared" si="15"/>
        <v>经济数学学院</v>
      </c>
      <c r="C164" s="3" t="str">
        <f>"高等代数Ⅰ"</f>
        <v>高等代数Ⅰ</v>
      </c>
      <c r="D164" s="3" t="str">
        <f t="shared" si="16"/>
        <v>通识基础课</v>
      </c>
      <c r="E164" s="3" t="str">
        <f>"张昕"</f>
        <v>张昕</v>
      </c>
      <c r="F164" s="3" t="str">
        <f>"黄君"</f>
        <v>黄君</v>
      </c>
      <c r="G164" s="3" t="str">
        <f>"117020204012"</f>
        <v>117020204012</v>
      </c>
    </row>
    <row r="165" spans="1:7" ht="15" customHeight="1">
      <c r="A165" s="3">
        <v>163</v>
      </c>
      <c r="B165" s="3" t="str">
        <f t="shared" si="15"/>
        <v>经济数学学院</v>
      </c>
      <c r="C165" s="3" t="str">
        <f>"数学分析Ⅰ（理科）"</f>
        <v>数学分析Ⅰ（理科）</v>
      </c>
      <c r="D165" s="3" t="str">
        <f t="shared" si="16"/>
        <v>通识基础课</v>
      </c>
      <c r="E165" s="3" t="str">
        <f>"杜彬彬"</f>
        <v>杜彬彬</v>
      </c>
      <c r="F165" s="3" t="str">
        <f>"陈凯"</f>
        <v>陈凯</v>
      </c>
      <c r="G165" s="3" t="str">
        <f>"219070100004"</f>
        <v>219070100004</v>
      </c>
    </row>
    <row r="166" spans="1:7" ht="15" customHeight="1">
      <c r="A166" s="3">
        <v>164</v>
      </c>
      <c r="B166" s="3" t="str">
        <f>"经济信息工程学院"</f>
        <v>经济信息工程学院</v>
      </c>
      <c r="C166" s="3" t="str">
        <f>"商务智能MOOC"</f>
        <v>商务智能MOOC</v>
      </c>
      <c r="D166" s="3" t="str">
        <f>"慕课"</f>
        <v>慕课</v>
      </c>
      <c r="E166" s="3" t="str">
        <f>"李瑾坤"</f>
        <v>李瑾坤</v>
      </c>
      <c r="F166" s="3" t="str">
        <f>"靳晓曼"</f>
        <v>靳晓曼</v>
      </c>
      <c r="G166" s="3" t="str">
        <f>"119020204052"</f>
        <v>119020204052</v>
      </c>
    </row>
    <row r="167" spans="1:7" ht="15" customHeight="1">
      <c r="A167" s="3">
        <v>165</v>
      </c>
      <c r="B167" s="3" t="str">
        <f>"经济信息工程学院"</f>
        <v>经济信息工程学院</v>
      </c>
      <c r="C167" s="3" t="str">
        <f>"数字经济支付MOOC"</f>
        <v>数字经济支付MOOC</v>
      </c>
      <c r="D167" s="3" t="str">
        <f>"慕课"</f>
        <v>慕课</v>
      </c>
      <c r="E167" s="3" t="str">
        <f>"李忠俊"</f>
        <v>李忠俊</v>
      </c>
      <c r="F167" s="3" t="str">
        <f>"朱冠军"</f>
        <v>朱冠军</v>
      </c>
      <c r="G167" s="3" t="str">
        <f>"2190202Z3005"</f>
        <v>2190202Z3005</v>
      </c>
    </row>
    <row r="168" spans="1:7" ht="15" customHeight="1">
      <c r="A168" s="3">
        <v>166</v>
      </c>
      <c r="B168" s="3" t="str">
        <f>"经济信息工程学院"</f>
        <v>经济信息工程学院</v>
      </c>
      <c r="C168" s="3" t="str">
        <f>"电子支付与结算"</f>
        <v>电子支付与结算</v>
      </c>
      <c r="D168" s="3" t="str">
        <f>"专业方向课"</f>
        <v>专业方向课</v>
      </c>
      <c r="E168" s="3" t="str">
        <f>"帅青红"</f>
        <v>帅青红</v>
      </c>
      <c r="F168" s="3" t="str">
        <f>"邓钧轩"</f>
        <v>邓钧轩</v>
      </c>
      <c r="G168" s="3" t="str">
        <f>"219020204204"</f>
        <v>219020204204</v>
      </c>
    </row>
    <row r="169" spans="1:7" ht="15" customHeight="1">
      <c r="A169" s="3">
        <v>167</v>
      </c>
      <c r="B169" s="3" t="str">
        <f>"经济信息工程学院"</f>
        <v>经济信息工程学院</v>
      </c>
      <c r="C169" s="3" t="str">
        <f>"高等数学Ⅰ"</f>
        <v>高等数学Ⅰ</v>
      </c>
      <c r="D169" s="3" t="str">
        <f>"通识基础课"</f>
        <v>通识基础课</v>
      </c>
      <c r="E169" s="3" t="str">
        <f>"熊文军"</f>
        <v>熊文军</v>
      </c>
      <c r="F169" s="3" t="str">
        <f>"罗子健"</f>
        <v>罗子健</v>
      </c>
      <c r="G169" s="3" t="str">
        <f>"1191202Z3001"</f>
        <v>1191202Z3001</v>
      </c>
    </row>
    <row r="170" spans="1:7" ht="15" customHeight="1">
      <c r="A170" s="3">
        <v>168</v>
      </c>
      <c r="B170" s="3" t="str">
        <f aca="true" t="shared" si="17" ref="B170:B206">"经济学院"</f>
        <v>经济学院</v>
      </c>
      <c r="C170" s="3" t="str">
        <f>"微观经济学"</f>
        <v>微观经济学</v>
      </c>
      <c r="D170" s="3" t="str">
        <f>"大学科基础课"</f>
        <v>大学科基础课</v>
      </c>
      <c r="E170" s="3" t="str">
        <f>"余景升"</f>
        <v>余景升</v>
      </c>
      <c r="F170" s="3" t="str">
        <f>"王貂"</f>
        <v>王貂</v>
      </c>
      <c r="G170" s="3" t="str">
        <f>"119020104001"</f>
        <v>119020104001</v>
      </c>
    </row>
    <row r="171" spans="1:7" ht="15" customHeight="1">
      <c r="A171" s="3">
        <v>169</v>
      </c>
      <c r="B171" s="3" t="str">
        <f t="shared" si="17"/>
        <v>经济学院</v>
      </c>
      <c r="C171" s="3" t="str">
        <f>"微观经济学"</f>
        <v>微观经济学</v>
      </c>
      <c r="D171" s="3" t="str">
        <f>"大学科基础课"</f>
        <v>大学科基础课</v>
      </c>
      <c r="E171" s="3" t="str">
        <f>"余景升"</f>
        <v>余景升</v>
      </c>
      <c r="F171" s="3" t="str">
        <f>"栾炳江"</f>
        <v>栾炳江</v>
      </c>
      <c r="G171" s="3" t="str">
        <f>"117020104003"</f>
        <v>117020104003</v>
      </c>
    </row>
    <row r="172" spans="1:7" ht="15" customHeight="1">
      <c r="A172" s="3">
        <v>170</v>
      </c>
      <c r="B172" s="3" t="str">
        <f t="shared" si="17"/>
        <v>经济学院</v>
      </c>
      <c r="C172" s="3" t="str">
        <f>"微观经济学"</f>
        <v>微观经济学</v>
      </c>
      <c r="D172" s="3" t="str">
        <f>"大学科基础课"</f>
        <v>大学科基础课</v>
      </c>
      <c r="E172" s="3" t="str">
        <f>"李毅"</f>
        <v>李毅</v>
      </c>
      <c r="F172" s="3" t="str">
        <f>"黄小曼"</f>
        <v>黄小曼</v>
      </c>
      <c r="G172" s="3" t="str">
        <f>"219020104018"</f>
        <v>219020104018</v>
      </c>
    </row>
    <row r="173" spans="1:7" ht="15" customHeight="1">
      <c r="A173" s="3">
        <v>171</v>
      </c>
      <c r="B173" s="3" t="str">
        <f t="shared" si="17"/>
        <v>经济学院</v>
      </c>
      <c r="C173" s="3" t="str">
        <f>"计量经济学"</f>
        <v>计量经济学</v>
      </c>
      <c r="D173" s="3" t="str">
        <f>"专业必修课"</f>
        <v>专业必修课</v>
      </c>
      <c r="E173" s="3" t="str">
        <f>"徐舒"</f>
        <v>徐舒</v>
      </c>
      <c r="F173" s="3" t="str">
        <f>"廖健伶"</f>
        <v>廖健伶</v>
      </c>
      <c r="G173" s="3" t="str">
        <f>"218020104024"</f>
        <v>218020104024</v>
      </c>
    </row>
    <row r="174" spans="1:7" ht="15" customHeight="1">
      <c r="A174" s="3">
        <v>172</v>
      </c>
      <c r="B174" s="3" t="str">
        <f t="shared" si="17"/>
        <v>经济学院</v>
      </c>
      <c r="C174" s="3" t="str">
        <f>"宏观经济学"</f>
        <v>宏观经济学</v>
      </c>
      <c r="D174" s="3" t="str">
        <f aca="true" t="shared" si="18" ref="D174:D185">"大学科基础课"</f>
        <v>大学科基础课</v>
      </c>
      <c r="E174" s="3" t="str">
        <f>"杨慧玲"</f>
        <v>杨慧玲</v>
      </c>
      <c r="F174" s="3" t="str">
        <f>"卢俊杰"</f>
        <v>卢俊杰</v>
      </c>
      <c r="G174" s="3" t="str">
        <f>"119020101004"</f>
        <v>119020101004</v>
      </c>
    </row>
    <row r="175" spans="1:7" ht="15" customHeight="1">
      <c r="A175" s="3">
        <v>173</v>
      </c>
      <c r="B175" s="3" t="str">
        <f t="shared" si="17"/>
        <v>经济学院</v>
      </c>
      <c r="C175" s="3" t="str">
        <f aca="true" t="shared" si="19" ref="C175:C180">"微观经济学"</f>
        <v>微观经济学</v>
      </c>
      <c r="D175" s="3" t="str">
        <f t="shared" si="18"/>
        <v>大学科基础课</v>
      </c>
      <c r="E175" s="3" t="str">
        <f>"吴开超"</f>
        <v>吴开超</v>
      </c>
      <c r="F175" s="3" t="str">
        <f>"张潇雪"</f>
        <v>张潇雪</v>
      </c>
      <c r="G175" s="3" t="str">
        <f>"218020204243"</f>
        <v>218020204243</v>
      </c>
    </row>
    <row r="176" spans="1:7" ht="15" customHeight="1">
      <c r="A176" s="3">
        <v>174</v>
      </c>
      <c r="B176" s="3" t="str">
        <f t="shared" si="17"/>
        <v>经济学院</v>
      </c>
      <c r="C176" s="3" t="str">
        <f t="shared" si="19"/>
        <v>微观经济学</v>
      </c>
      <c r="D176" s="3" t="str">
        <f t="shared" si="18"/>
        <v>大学科基础课</v>
      </c>
      <c r="E176" s="3" t="str">
        <f>"吴开超"</f>
        <v>吴开超</v>
      </c>
      <c r="F176" s="3" t="str">
        <f>"魏佳禾"</f>
        <v>魏佳禾</v>
      </c>
      <c r="G176" s="3" t="str">
        <f>"2190202Z6010"</f>
        <v>2190202Z6010</v>
      </c>
    </row>
    <row r="177" spans="1:7" ht="15" customHeight="1">
      <c r="A177" s="3">
        <v>175</v>
      </c>
      <c r="B177" s="3" t="str">
        <f t="shared" si="17"/>
        <v>经济学院</v>
      </c>
      <c r="C177" s="3" t="str">
        <f t="shared" si="19"/>
        <v>微观经济学</v>
      </c>
      <c r="D177" s="3" t="str">
        <f t="shared" si="18"/>
        <v>大学科基础课</v>
      </c>
      <c r="E177" s="3" t="str">
        <f>"谢洪燕"</f>
        <v>谢洪燕</v>
      </c>
      <c r="F177" s="3" t="str">
        <f>"陈雅婕"</f>
        <v>陈雅婕</v>
      </c>
      <c r="G177" s="3" t="str">
        <f>"218020204238"</f>
        <v>218020204238</v>
      </c>
    </row>
    <row r="178" spans="1:7" ht="15" customHeight="1">
      <c r="A178" s="3">
        <v>176</v>
      </c>
      <c r="B178" s="3" t="str">
        <f t="shared" si="17"/>
        <v>经济学院</v>
      </c>
      <c r="C178" s="3" t="str">
        <f t="shared" si="19"/>
        <v>微观经济学</v>
      </c>
      <c r="D178" s="3" t="str">
        <f t="shared" si="18"/>
        <v>大学科基础课</v>
      </c>
      <c r="E178" s="3" t="str">
        <f>"谢洪燕"</f>
        <v>谢洪燕</v>
      </c>
      <c r="F178" s="3" t="str">
        <f>"向珂宇"</f>
        <v>向珂宇</v>
      </c>
      <c r="G178" s="3" t="str">
        <f>"219020105009"</f>
        <v>219020105009</v>
      </c>
    </row>
    <row r="179" spans="1:7" ht="15" customHeight="1">
      <c r="A179" s="3">
        <v>177</v>
      </c>
      <c r="B179" s="3" t="str">
        <f t="shared" si="17"/>
        <v>经济学院</v>
      </c>
      <c r="C179" s="3" t="str">
        <f t="shared" si="19"/>
        <v>微观经济学</v>
      </c>
      <c r="D179" s="3" t="str">
        <f t="shared" si="18"/>
        <v>大学科基础课</v>
      </c>
      <c r="E179" s="3" t="str">
        <f>"田超岳"</f>
        <v>田超岳</v>
      </c>
      <c r="F179" s="3" t="str">
        <f>"金通"</f>
        <v>金通</v>
      </c>
      <c r="G179" s="3" t="str">
        <f>"219020201004"</f>
        <v>219020201004</v>
      </c>
    </row>
    <row r="180" spans="1:7" ht="15" customHeight="1">
      <c r="A180" s="3">
        <v>178</v>
      </c>
      <c r="B180" s="3" t="str">
        <f t="shared" si="17"/>
        <v>经济学院</v>
      </c>
      <c r="C180" s="3" t="str">
        <f t="shared" si="19"/>
        <v>微观经济学</v>
      </c>
      <c r="D180" s="3" t="str">
        <f t="shared" si="18"/>
        <v>大学科基础课</v>
      </c>
      <c r="E180" s="3" t="str">
        <f>"郑雪梅"</f>
        <v>郑雪梅</v>
      </c>
      <c r="F180" s="3" t="str">
        <f>"侯佳君"</f>
        <v>侯佳君</v>
      </c>
      <c r="G180" s="3" t="str">
        <f>"219020201005"</f>
        <v>219020201005</v>
      </c>
    </row>
    <row r="181" spans="1:7" ht="15" customHeight="1">
      <c r="A181" s="3">
        <v>179</v>
      </c>
      <c r="B181" s="3" t="str">
        <f t="shared" si="17"/>
        <v>经济学院</v>
      </c>
      <c r="C181" s="3" t="str">
        <f>"宏观经济学"</f>
        <v>宏观经济学</v>
      </c>
      <c r="D181" s="3" t="str">
        <f t="shared" si="18"/>
        <v>大学科基础课</v>
      </c>
      <c r="E181" s="3" t="str">
        <f>"邹红"</f>
        <v>邹红</v>
      </c>
      <c r="F181" s="3" t="str">
        <f>"李晓刚"</f>
        <v>李晓刚</v>
      </c>
      <c r="G181" s="3" t="str">
        <f>"218020104020"</f>
        <v>218020104020</v>
      </c>
    </row>
    <row r="182" spans="1:7" ht="15" customHeight="1">
      <c r="A182" s="3">
        <v>180</v>
      </c>
      <c r="B182" s="3" t="str">
        <f t="shared" si="17"/>
        <v>经济学院</v>
      </c>
      <c r="C182" s="3" t="str">
        <f>"政治经济学"</f>
        <v>政治经济学</v>
      </c>
      <c r="D182" s="3" t="str">
        <f t="shared" si="18"/>
        <v>大学科基础课</v>
      </c>
      <c r="E182" s="3" t="str">
        <f>"韩文龙"</f>
        <v>韩文龙</v>
      </c>
      <c r="F182" s="3" t="str">
        <f>"杨涵"</f>
        <v>杨涵</v>
      </c>
      <c r="G182" s="3" t="str">
        <f>"2180202J5002"</f>
        <v>2180202J5002</v>
      </c>
    </row>
    <row r="183" spans="1:7" ht="15" customHeight="1">
      <c r="A183" s="3">
        <v>181</v>
      </c>
      <c r="B183" s="3" t="str">
        <f t="shared" si="17"/>
        <v>经济学院</v>
      </c>
      <c r="C183" s="3" t="str">
        <f>"政治经济学"</f>
        <v>政治经济学</v>
      </c>
      <c r="D183" s="3" t="str">
        <f t="shared" si="18"/>
        <v>大学科基础课</v>
      </c>
      <c r="E183" s="3" t="str">
        <f>"李梦凡"</f>
        <v>李梦凡</v>
      </c>
      <c r="F183" s="3" t="str">
        <f>"姜晓卉"</f>
        <v>姜晓卉</v>
      </c>
      <c r="G183" s="3" t="str">
        <f>"219020101010"</f>
        <v>219020101010</v>
      </c>
    </row>
    <row r="184" spans="1:7" ht="15" customHeight="1">
      <c r="A184" s="3">
        <v>182</v>
      </c>
      <c r="B184" s="3" t="str">
        <f t="shared" si="17"/>
        <v>经济学院</v>
      </c>
      <c r="C184" s="3" t="str">
        <f>"微观经济学"</f>
        <v>微观经济学</v>
      </c>
      <c r="D184" s="3" t="str">
        <f t="shared" si="18"/>
        <v>大学科基础课</v>
      </c>
      <c r="E184" s="3" t="str">
        <f>"袁正"</f>
        <v>袁正</v>
      </c>
      <c r="F184" s="3" t="str">
        <f>"汤乾宇"</f>
        <v>汤乾宇</v>
      </c>
      <c r="G184" s="3" t="str">
        <f>"219020104013"</f>
        <v>219020104013</v>
      </c>
    </row>
    <row r="185" spans="1:7" ht="15" customHeight="1">
      <c r="A185" s="3">
        <v>183</v>
      </c>
      <c r="B185" s="3" t="str">
        <f t="shared" si="17"/>
        <v>经济学院</v>
      </c>
      <c r="C185" s="3" t="str">
        <f>"政治经济学"</f>
        <v>政治经济学</v>
      </c>
      <c r="D185" s="3" t="str">
        <f t="shared" si="18"/>
        <v>大学科基础课</v>
      </c>
      <c r="E185" s="3" t="str">
        <f>"李标"</f>
        <v>李标</v>
      </c>
      <c r="F185" s="3" t="str">
        <f>"邓松"</f>
        <v>邓松</v>
      </c>
      <c r="G185" s="3" t="str">
        <f>"218020101023"</f>
        <v>218020101023</v>
      </c>
    </row>
    <row r="186" spans="1:7" ht="15" customHeight="1">
      <c r="A186" s="3">
        <v>184</v>
      </c>
      <c r="B186" s="3" t="str">
        <f t="shared" si="17"/>
        <v>经济学院</v>
      </c>
      <c r="C186" s="3" t="str">
        <f>"发展经济学MOOC"</f>
        <v>发展经济学MOOC</v>
      </c>
      <c r="D186" s="3" t="str">
        <f>"慕课"</f>
        <v>慕课</v>
      </c>
      <c r="E186" s="3" t="str">
        <f>"蔡晓陈"</f>
        <v>蔡晓陈</v>
      </c>
      <c r="F186" s="3" t="str">
        <f>"杨杨"</f>
        <v>杨杨</v>
      </c>
      <c r="G186" s="3" t="str">
        <f>"1190201Z2001"</f>
        <v>1190201Z2001</v>
      </c>
    </row>
    <row r="187" spans="1:7" ht="15" customHeight="1">
      <c r="A187" s="3">
        <v>185</v>
      </c>
      <c r="B187" s="3" t="str">
        <f t="shared" si="17"/>
        <v>经济学院</v>
      </c>
      <c r="C187" s="3" t="str">
        <f>"宏观经济学"</f>
        <v>宏观经济学</v>
      </c>
      <c r="D187" s="3" t="str">
        <f>"大学科基础课"</f>
        <v>大学科基础课</v>
      </c>
      <c r="E187" s="3" t="str">
        <f>"吴应军"</f>
        <v>吴应军</v>
      </c>
      <c r="F187" s="3" t="str">
        <f>"徐博"</f>
        <v>徐博</v>
      </c>
      <c r="G187" s="3" t="str">
        <f>"219020104025"</f>
        <v>219020104025</v>
      </c>
    </row>
    <row r="188" spans="1:7" ht="15" customHeight="1">
      <c r="A188" s="3">
        <v>186</v>
      </c>
      <c r="B188" s="3" t="str">
        <f t="shared" si="17"/>
        <v>经济学院</v>
      </c>
      <c r="C188" s="3" t="str">
        <f>"中级宏观经济学"</f>
        <v>中级宏观经济学</v>
      </c>
      <c r="D188" s="3" t="str">
        <f>"专业必修课"</f>
        <v>专业必修课</v>
      </c>
      <c r="E188" s="3" t="str">
        <f>"陈师"</f>
        <v>陈师</v>
      </c>
      <c r="F188" s="3" t="str">
        <f>"刘洵"</f>
        <v>刘洵</v>
      </c>
      <c r="G188" s="3" t="str">
        <f>"117020104007"</f>
        <v>117020104007</v>
      </c>
    </row>
    <row r="189" spans="1:7" ht="15" customHeight="1">
      <c r="A189" s="3">
        <v>187</v>
      </c>
      <c r="B189" s="3" t="str">
        <f t="shared" si="17"/>
        <v>经济学院</v>
      </c>
      <c r="C189" s="3" t="str">
        <f>"中级宏观经济学"</f>
        <v>中级宏观经济学</v>
      </c>
      <c r="D189" s="3" t="str">
        <f>"专业方向课"</f>
        <v>专业方向课</v>
      </c>
      <c r="E189" s="3" t="str">
        <f>"陈师"</f>
        <v>陈师</v>
      </c>
      <c r="F189" s="3" t="str">
        <f>"纪旭"</f>
        <v>纪旭</v>
      </c>
      <c r="G189" s="3" t="str">
        <f>"218020204230"</f>
        <v>218020204230</v>
      </c>
    </row>
    <row r="190" spans="1:7" ht="15" customHeight="1">
      <c r="A190" s="3">
        <v>188</v>
      </c>
      <c r="B190" s="3" t="str">
        <f t="shared" si="17"/>
        <v>经济学院</v>
      </c>
      <c r="C190" s="3" t="str">
        <f>"中级宏观经济学MOOC"</f>
        <v>中级宏观经济学MOOC</v>
      </c>
      <c r="D190" s="3" t="str">
        <f>"慕课"</f>
        <v>慕课</v>
      </c>
      <c r="E190" s="3" t="str">
        <f>"陈师"</f>
        <v>陈师</v>
      </c>
      <c r="F190" s="3" t="str">
        <f>"姚玟羽"</f>
        <v>姚玟羽</v>
      </c>
      <c r="G190" s="3" t="str">
        <f>"119020101001"</f>
        <v>119020101001</v>
      </c>
    </row>
    <row r="191" spans="1:7" ht="15" customHeight="1">
      <c r="A191" s="3">
        <v>189</v>
      </c>
      <c r="B191" s="3" t="str">
        <f t="shared" si="17"/>
        <v>经济学院</v>
      </c>
      <c r="C191" s="3" t="str">
        <f>"政治经济学"</f>
        <v>政治经济学</v>
      </c>
      <c r="D191" s="3" t="str">
        <f aca="true" t="shared" si="20" ref="D191:D197">"大学科基础课"</f>
        <v>大学科基础课</v>
      </c>
      <c r="E191" s="3" t="str">
        <f>"张志"</f>
        <v>张志</v>
      </c>
      <c r="F191" s="3" t="str">
        <f>"赵永洪"</f>
        <v>赵永洪</v>
      </c>
      <c r="G191" s="3" t="str">
        <f>"219020101004"</f>
        <v>219020101004</v>
      </c>
    </row>
    <row r="192" spans="1:7" ht="15" customHeight="1">
      <c r="A192" s="3">
        <v>190</v>
      </c>
      <c r="B192" s="3" t="str">
        <f t="shared" si="17"/>
        <v>经济学院</v>
      </c>
      <c r="C192" s="3" t="str">
        <f>"政治经济学"</f>
        <v>政治经济学</v>
      </c>
      <c r="D192" s="3" t="str">
        <f t="shared" si="20"/>
        <v>大学科基础课</v>
      </c>
      <c r="E192" s="3" t="str">
        <f>"张志"</f>
        <v>张志</v>
      </c>
      <c r="F192" s="3" t="str">
        <f>"丁一玲"</f>
        <v>丁一玲</v>
      </c>
      <c r="G192" s="3" t="str">
        <f>"219020202011"</f>
        <v>219020202011</v>
      </c>
    </row>
    <row r="193" spans="1:7" ht="15" customHeight="1">
      <c r="A193" s="3">
        <v>191</v>
      </c>
      <c r="B193" s="3" t="str">
        <f t="shared" si="17"/>
        <v>经济学院</v>
      </c>
      <c r="C193" s="3" t="str">
        <f>"政治经济学"</f>
        <v>政治经济学</v>
      </c>
      <c r="D193" s="3" t="str">
        <f t="shared" si="20"/>
        <v>大学科基础课</v>
      </c>
      <c r="E193" s="3" t="str">
        <f>"王军"</f>
        <v>王军</v>
      </c>
      <c r="F193" s="3" t="str">
        <f>"王玉婷"</f>
        <v>王玉婷</v>
      </c>
      <c r="G193" s="3" t="str">
        <f>"218020204233"</f>
        <v>218020204233</v>
      </c>
    </row>
    <row r="194" spans="1:7" ht="15" customHeight="1">
      <c r="A194" s="3">
        <v>192</v>
      </c>
      <c r="B194" s="3" t="str">
        <f t="shared" si="17"/>
        <v>经济学院</v>
      </c>
      <c r="C194" s="3" t="str">
        <f>"政治经济学"</f>
        <v>政治经济学</v>
      </c>
      <c r="D194" s="3" t="str">
        <f t="shared" si="20"/>
        <v>大学科基础课</v>
      </c>
      <c r="E194" s="3" t="str">
        <f>"王军"</f>
        <v>王军</v>
      </c>
      <c r="F194" s="3" t="str">
        <f>"陈杨鈜"</f>
        <v>陈杨鈜</v>
      </c>
      <c r="G194" s="3" t="str">
        <f>"219020101011"</f>
        <v>219020101011</v>
      </c>
    </row>
    <row r="195" spans="1:7" ht="15" customHeight="1">
      <c r="A195" s="3">
        <v>193</v>
      </c>
      <c r="B195" s="3" t="str">
        <f t="shared" si="17"/>
        <v>经济学院</v>
      </c>
      <c r="C195" s="3" t="str">
        <f>"微观经济学"</f>
        <v>微观经济学</v>
      </c>
      <c r="D195" s="3" t="str">
        <f t="shared" si="20"/>
        <v>大学科基础课</v>
      </c>
      <c r="E195" s="3" t="str">
        <f>"郎旭"</f>
        <v>郎旭</v>
      </c>
      <c r="F195" s="3" t="str">
        <f>"曹恬心"</f>
        <v>曹恬心</v>
      </c>
      <c r="G195" s="3" t="str">
        <f>"219020104034"</f>
        <v>219020104034</v>
      </c>
    </row>
    <row r="196" spans="1:7" ht="15" customHeight="1">
      <c r="A196" s="3">
        <v>194</v>
      </c>
      <c r="B196" s="3" t="str">
        <f t="shared" si="17"/>
        <v>经济学院</v>
      </c>
      <c r="C196" s="3" t="str">
        <f>"微观经济学"</f>
        <v>微观经济学</v>
      </c>
      <c r="D196" s="3" t="str">
        <f t="shared" si="20"/>
        <v>大学科基础课</v>
      </c>
      <c r="E196" s="3" t="str">
        <f>"郎旭"</f>
        <v>郎旭</v>
      </c>
      <c r="F196" s="3" t="str">
        <f>"杨小奇"</f>
        <v>杨小奇</v>
      </c>
      <c r="G196" s="3" t="str">
        <f>"218020204237"</f>
        <v>218020204237</v>
      </c>
    </row>
    <row r="197" spans="1:7" ht="15" customHeight="1">
      <c r="A197" s="3">
        <v>195</v>
      </c>
      <c r="B197" s="3" t="str">
        <f t="shared" si="17"/>
        <v>经济学院</v>
      </c>
      <c r="C197" s="3" t="str">
        <f>"宏观经济学"</f>
        <v>宏观经济学</v>
      </c>
      <c r="D197" s="3" t="str">
        <f t="shared" si="20"/>
        <v>大学科基础课</v>
      </c>
      <c r="E197" s="3" t="str">
        <f>"舒海诚"</f>
        <v>舒海诚</v>
      </c>
      <c r="F197" s="3" t="str">
        <f>"余毅翔"</f>
        <v>余毅翔</v>
      </c>
      <c r="G197" s="3" t="str">
        <f>"217020208009"</f>
        <v>217020208009</v>
      </c>
    </row>
    <row r="198" spans="1:7" ht="15" customHeight="1">
      <c r="A198" s="3">
        <v>196</v>
      </c>
      <c r="B198" s="3" t="str">
        <f t="shared" si="17"/>
        <v>经济学院</v>
      </c>
      <c r="C198" s="3" t="str">
        <f>"宏观经济学MOOC"</f>
        <v>宏观经济学MOOC</v>
      </c>
      <c r="D198" s="3" t="str">
        <f>"慕课"</f>
        <v>慕课</v>
      </c>
      <c r="E198" s="3" t="str">
        <f>"曾志远"</f>
        <v>曾志远</v>
      </c>
      <c r="F198" s="3" t="str">
        <f>"高添"</f>
        <v>高添</v>
      </c>
      <c r="G198" s="3" t="str">
        <f>"219120201005"</f>
        <v>219120201005</v>
      </c>
    </row>
    <row r="199" spans="1:7" ht="15" customHeight="1">
      <c r="A199" s="3">
        <v>197</v>
      </c>
      <c r="B199" s="3" t="str">
        <f t="shared" si="17"/>
        <v>经济学院</v>
      </c>
      <c r="C199" s="3" t="str">
        <f>"微观经济学"</f>
        <v>微观经济学</v>
      </c>
      <c r="D199" s="3" t="str">
        <f aca="true" t="shared" si="21" ref="D199:D206">"大学科基础课"</f>
        <v>大学科基础课</v>
      </c>
      <c r="E199" s="3" t="str">
        <f>"王湛"</f>
        <v>王湛</v>
      </c>
      <c r="F199" s="3" t="str">
        <f>"刘欢"</f>
        <v>刘欢</v>
      </c>
      <c r="G199" s="3" t="str">
        <f>"219020201002"</f>
        <v>219020201002</v>
      </c>
    </row>
    <row r="200" spans="1:7" ht="15" customHeight="1">
      <c r="A200" s="3">
        <v>198</v>
      </c>
      <c r="B200" s="3" t="str">
        <f t="shared" si="17"/>
        <v>经济学院</v>
      </c>
      <c r="C200" s="3" t="str">
        <f>"微观经济学"</f>
        <v>微观经济学</v>
      </c>
      <c r="D200" s="3" t="str">
        <f t="shared" si="21"/>
        <v>大学科基础课</v>
      </c>
      <c r="E200" s="3" t="str">
        <f>"王鑫"</f>
        <v>王鑫</v>
      </c>
      <c r="F200" s="3" t="str">
        <f>"郑舒心"</f>
        <v>郑舒心</v>
      </c>
      <c r="G200" s="3" t="str">
        <f>"218020204203"</f>
        <v>218020204203</v>
      </c>
    </row>
    <row r="201" spans="1:7" ht="15" customHeight="1">
      <c r="A201" s="3">
        <v>199</v>
      </c>
      <c r="B201" s="3" t="str">
        <f t="shared" si="17"/>
        <v>经济学院</v>
      </c>
      <c r="C201" s="3" t="str">
        <f>"微观经济学"</f>
        <v>微观经济学</v>
      </c>
      <c r="D201" s="3" t="str">
        <f t="shared" si="21"/>
        <v>大学科基础课</v>
      </c>
      <c r="E201" s="3" t="str">
        <f>"石启超"</f>
        <v>石启超</v>
      </c>
      <c r="F201" s="3" t="str">
        <f>"倪尔雨"</f>
        <v>倪尔雨</v>
      </c>
      <c r="G201" s="3" t="str">
        <f>"219020201003"</f>
        <v>219020201003</v>
      </c>
    </row>
    <row r="202" spans="1:7" ht="15" customHeight="1">
      <c r="A202" s="3">
        <v>200</v>
      </c>
      <c r="B202" s="3" t="str">
        <f t="shared" si="17"/>
        <v>经济学院</v>
      </c>
      <c r="C202" s="3" t="str">
        <f>"微观经济学"</f>
        <v>微观经济学</v>
      </c>
      <c r="D202" s="3" t="str">
        <f t="shared" si="21"/>
        <v>大学科基础课</v>
      </c>
      <c r="E202" s="3" t="str">
        <f>"石启超"</f>
        <v>石启超</v>
      </c>
      <c r="F202" s="3" t="str">
        <f>"王慧欣"</f>
        <v>王慧欣</v>
      </c>
      <c r="G202" s="3" t="str">
        <f>"218020204232"</f>
        <v>218020204232</v>
      </c>
    </row>
    <row r="203" spans="1:7" ht="15" customHeight="1">
      <c r="A203" s="3">
        <v>201</v>
      </c>
      <c r="B203" s="3" t="str">
        <f t="shared" si="17"/>
        <v>经济学院</v>
      </c>
      <c r="C203" s="3" t="str">
        <f>"宏观经济学"</f>
        <v>宏观经济学</v>
      </c>
      <c r="D203" s="3" t="str">
        <f t="shared" si="21"/>
        <v>大学科基础课</v>
      </c>
      <c r="E203" s="3" t="str">
        <f>"梁鑫"</f>
        <v>梁鑫</v>
      </c>
      <c r="F203" s="3" t="str">
        <f>"曾小玲"</f>
        <v>曾小玲</v>
      </c>
      <c r="G203" s="3" t="str">
        <f>"119020201002"</f>
        <v>119020201002</v>
      </c>
    </row>
    <row r="204" spans="1:7" ht="15" customHeight="1">
      <c r="A204" s="3">
        <v>202</v>
      </c>
      <c r="B204" s="3" t="str">
        <f t="shared" si="17"/>
        <v>经济学院</v>
      </c>
      <c r="C204" s="3" t="str">
        <f>"宏观经济学"</f>
        <v>宏观经济学</v>
      </c>
      <c r="D204" s="3" t="str">
        <f t="shared" si="21"/>
        <v>大学科基础课</v>
      </c>
      <c r="E204" s="3" t="str">
        <f>"陈晓玲"</f>
        <v>陈晓玲</v>
      </c>
      <c r="F204" s="3" t="str">
        <f>"谢雨心"</f>
        <v>谢雨心</v>
      </c>
      <c r="G204" s="3" t="str">
        <f>"119020105001"</f>
        <v>119020105001</v>
      </c>
    </row>
    <row r="205" spans="1:7" ht="15" customHeight="1">
      <c r="A205" s="3">
        <v>203</v>
      </c>
      <c r="B205" s="3" t="str">
        <f t="shared" si="17"/>
        <v>经济学院</v>
      </c>
      <c r="C205" s="3" t="str">
        <f>"政治经济学"</f>
        <v>政治经济学</v>
      </c>
      <c r="D205" s="3" t="str">
        <f t="shared" si="21"/>
        <v>大学科基础课</v>
      </c>
      <c r="E205" s="3" t="str">
        <f>"陈姝兴"</f>
        <v>陈姝兴</v>
      </c>
      <c r="F205" s="3" t="str">
        <f>"丁登龙"</f>
        <v>丁登龙</v>
      </c>
      <c r="G205" s="3" t="str">
        <f>"219020101007"</f>
        <v>219020101007</v>
      </c>
    </row>
    <row r="206" spans="1:7" ht="15" customHeight="1">
      <c r="A206" s="3">
        <v>204</v>
      </c>
      <c r="B206" s="3" t="str">
        <f t="shared" si="17"/>
        <v>经济学院</v>
      </c>
      <c r="C206" s="3" t="str">
        <f>"微观经济学"</f>
        <v>微观经济学</v>
      </c>
      <c r="D206" s="3" t="str">
        <f t="shared" si="21"/>
        <v>大学科基础课</v>
      </c>
      <c r="E206" s="3" t="str">
        <f>"王帝"</f>
        <v>王帝</v>
      </c>
      <c r="F206" s="3" t="str">
        <f>"张欣玮"</f>
        <v>张欣玮</v>
      </c>
      <c r="G206" s="3" t="str">
        <f>"219020104031"</f>
        <v>219020104031</v>
      </c>
    </row>
    <row r="207" spans="1:7" ht="15" customHeight="1">
      <c r="A207" s="3">
        <v>205</v>
      </c>
      <c r="B207" s="3" t="str">
        <f>"马克思主义学院"</f>
        <v>马克思主义学院</v>
      </c>
      <c r="C207" s="3" t="str">
        <f>"中国近现代史纲要"</f>
        <v>中国近现代史纲要</v>
      </c>
      <c r="D207" s="3" t="str">
        <f>"通识基础课"</f>
        <v>通识基础课</v>
      </c>
      <c r="E207" s="3" t="str">
        <f>"贾国雄"</f>
        <v>贾国雄</v>
      </c>
      <c r="F207" s="3" t="str">
        <f>"刘秀"</f>
        <v>刘秀</v>
      </c>
      <c r="G207" s="3" t="str">
        <f>"218030501005"</f>
        <v>218030501005</v>
      </c>
    </row>
    <row r="208" spans="1:7" ht="15" customHeight="1">
      <c r="A208" s="3">
        <v>206</v>
      </c>
      <c r="B208" s="3" t="str">
        <f>"马克思主义学院"</f>
        <v>马克思主义学院</v>
      </c>
      <c r="C208" s="3" t="str">
        <f>"马克思主义基本原理"</f>
        <v>马克思主义基本原理</v>
      </c>
      <c r="D208" s="3" t="str">
        <f>"通识基础课"</f>
        <v>通识基础课</v>
      </c>
      <c r="E208" s="3" t="str">
        <f>"吴玉平"</f>
        <v>吴玉平</v>
      </c>
      <c r="F208" s="3" t="str">
        <f>"陈桂芳"</f>
        <v>陈桂芳</v>
      </c>
      <c r="G208" s="3" t="str">
        <f>"219030501009"</f>
        <v>219030501009</v>
      </c>
    </row>
    <row r="209" spans="1:7" ht="15" customHeight="1">
      <c r="A209" s="3">
        <v>207</v>
      </c>
      <c r="B209" s="3" t="str">
        <f>"马克思主义学院"</f>
        <v>马克思主义学院</v>
      </c>
      <c r="C209" s="3" t="str">
        <f>"中国近现代史纲要"</f>
        <v>中国近现代史纲要</v>
      </c>
      <c r="D209" s="3" t="str">
        <f>"通识基础课"</f>
        <v>通识基础课</v>
      </c>
      <c r="E209" s="3" t="str">
        <f>"张亮"</f>
        <v>张亮</v>
      </c>
      <c r="F209" s="3" t="str">
        <f>"曾梓钰"</f>
        <v>曾梓钰</v>
      </c>
      <c r="G209" s="3" t="str">
        <f>"219030503005"</f>
        <v>219030503005</v>
      </c>
    </row>
    <row r="210" spans="1:7" ht="15" customHeight="1">
      <c r="A210" s="3">
        <v>208</v>
      </c>
      <c r="B210" s="3" t="str">
        <f>"马克思主义学院"</f>
        <v>马克思主义学院</v>
      </c>
      <c r="C210" s="3" t="str">
        <f>"中国近现代史纲要"</f>
        <v>中国近现代史纲要</v>
      </c>
      <c r="D210" s="3" t="str">
        <f>"通识基础课"</f>
        <v>通识基础课</v>
      </c>
      <c r="E210" s="3" t="str">
        <f>"张亮"</f>
        <v>张亮</v>
      </c>
      <c r="F210" s="3" t="str">
        <f>"袁晨"</f>
        <v>袁晨</v>
      </c>
      <c r="G210" s="3" t="str">
        <f>"2190202Z6026"</f>
        <v>2190202Z6026</v>
      </c>
    </row>
    <row r="211" spans="1:7" ht="15" customHeight="1">
      <c r="A211" s="3">
        <v>209</v>
      </c>
      <c r="B211" s="3" t="str">
        <f aca="true" t="shared" si="22" ref="B211:B251">"统计学院"</f>
        <v>统计学院</v>
      </c>
      <c r="C211" s="3" t="str">
        <f aca="true" t="shared" si="23" ref="C211:C217">"统计学"</f>
        <v>统计学</v>
      </c>
      <c r="D211" s="3" t="str">
        <f aca="true" t="shared" si="24" ref="D211:D217">"大学科基础课"</f>
        <v>大学科基础课</v>
      </c>
      <c r="E211" s="3" t="str">
        <f>"王青华"</f>
        <v>王青华</v>
      </c>
      <c r="F211" s="3" t="str">
        <f>"余关元"</f>
        <v>余关元</v>
      </c>
      <c r="G211" s="3" t="str">
        <f>"117120204001"</f>
        <v>117120204001</v>
      </c>
    </row>
    <row r="212" spans="1:7" ht="15" customHeight="1">
      <c r="A212" s="3">
        <v>210</v>
      </c>
      <c r="B212" s="3" t="str">
        <f t="shared" si="22"/>
        <v>统计学院</v>
      </c>
      <c r="C212" s="3" t="str">
        <f t="shared" si="23"/>
        <v>统计学</v>
      </c>
      <c r="D212" s="3" t="str">
        <f t="shared" si="24"/>
        <v>大学科基础课</v>
      </c>
      <c r="E212" s="3" t="str">
        <f>"王青华"</f>
        <v>王青华</v>
      </c>
      <c r="F212" s="3" t="str">
        <f>"徐晓庆"</f>
        <v>徐晓庆</v>
      </c>
      <c r="G212" s="3" t="str">
        <f>"118120204002"</f>
        <v>118120204002</v>
      </c>
    </row>
    <row r="213" spans="1:7" ht="15" customHeight="1">
      <c r="A213" s="3">
        <v>211</v>
      </c>
      <c r="B213" s="3" t="str">
        <f t="shared" si="22"/>
        <v>统计学院</v>
      </c>
      <c r="C213" s="3" t="str">
        <f t="shared" si="23"/>
        <v>统计学</v>
      </c>
      <c r="D213" s="3" t="str">
        <f t="shared" si="24"/>
        <v>大学科基础课</v>
      </c>
      <c r="E213" s="3" t="str">
        <f>"王青华"</f>
        <v>王青华</v>
      </c>
      <c r="F213" s="3" t="str">
        <f>"邢容"</f>
        <v>邢容</v>
      </c>
      <c r="G213" s="3" t="str">
        <f>"117020204026"</f>
        <v>117020204026</v>
      </c>
    </row>
    <row r="214" spans="1:7" ht="15" customHeight="1">
      <c r="A214" s="3">
        <v>212</v>
      </c>
      <c r="B214" s="3" t="str">
        <f t="shared" si="22"/>
        <v>统计学院</v>
      </c>
      <c r="C214" s="3" t="str">
        <f t="shared" si="23"/>
        <v>统计学</v>
      </c>
      <c r="D214" s="3" t="str">
        <f t="shared" si="24"/>
        <v>大学科基础课</v>
      </c>
      <c r="E214" s="3" t="str">
        <f>"苏远琳"</f>
        <v>苏远琳</v>
      </c>
      <c r="F214" s="3" t="str">
        <f>"刘敏"</f>
        <v>刘敏</v>
      </c>
      <c r="G214" s="3" t="str">
        <f>"218120201024"</f>
        <v>218120201024</v>
      </c>
    </row>
    <row r="215" spans="1:7" ht="15" customHeight="1">
      <c r="A215" s="3">
        <v>213</v>
      </c>
      <c r="B215" s="3" t="str">
        <f t="shared" si="22"/>
        <v>统计学院</v>
      </c>
      <c r="C215" s="3" t="str">
        <f t="shared" si="23"/>
        <v>统计学</v>
      </c>
      <c r="D215" s="3" t="str">
        <f t="shared" si="24"/>
        <v>大学科基础课</v>
      </c>
      <c r="E215" s="3" t="str">
        <f>"苏远琳"</f>
        <v>苏远琳</v>
      </c>
      <c r="F215" s="3" t="str">
        <f>"黄金水"</f>
        <v>黄金水</v>
      </c>
      <c r="G215" s="3" t="str">
        <f>"218120204002"</f>
        <v>218120204002</v>
      </c>
    </row>
    <row r="216" spans="1:7" ht="15" customHeight="1">
      <c r="A216" s="3">
        <v>214</v>
      </c>
      <c r="B216" s="3" t="str">
        <f t="shared" si="22"/>
        <v>统计学院</v>
      </c>
      <c r="C216" s="3" t="str">
        <f t="shared" si="23"/>
        <v>统计学</v>
      </c>
      <c r="D216" s="3" t="str">
        <f t="shared" si="24"/>
        <v>大学科基础课</v>
      </c>
      <c r="E216" s="3" t="str">
        <f>"苏远琳"</f>
        <v>苏远琳</v>
      </c>
      <c r="F216" s="3" t="str">
        <f>"秦非凡"</f>
        <v>秦非凡</v>
      </c>
      <c r="G216" s="3" t="str">
        <f>"2191202Z6014"</f>
        <v>2191202Z6014</v>
      </c>
    </row>
    <row r="217" spans="1:7" ht="15" customHeight="1">
      <c r="A217" s="3">
        <v>215</v>
      </c>
      <c r="B217" s="3" t="str">
        <f t="shared" si="22"/>
        <v>统计学院</v>
      </c>
      <c r="C217" s="3" t="str">
        <f t="shared" si="23"/>
        <v>统计学</v>
      </c>
      <c r="D217" s="3" t="str">
        <f t="shared" si="24"/>
        <v>大学科基础课</v>
      </c>
      <c r="E217" s="3" t="str">
        <f>"苏远琳"</f>
        <v>苏远琳</v>
      </c>
      <c r="F217" s="3" t="str">
        <f>"赖怡"</f>
        <v>赖怡</v>
      </c>
      <c r="G217" s="3" t="str">
        <f>"219020201001"</f>
        <v>219020201001</v>
      </c>
    </row>
    <row r="218" spans="1:7" ht="15" customHeight="1">
      <c r="A218" s="3">
        <v>216</v>
      </c>
      <c r="B218" s="3" t="str">
        <f t="shared" si="22"/>
        <v>统计学院</v>
      </c>
      <c r="C218" s="3" t="str">
        <f>"统计学MOOC"</f>
        <v>统计学MOOC</v>
      </c>
      <c r="D218" s="3" t="str">
        <f>"慕课"</f>
        <v>慕课</v>
      </c>
      <c r="E218" s="3" t="str">
        <f>"夏怡凡"</f>
        <v>夏怡凡</v>
      </c>
      <c r="F218" s="3" t="str">
        <f>"陈文辉"</f>
        <v>陈文辉</v>
      </c>
      <c r="G218" s="3" t="str">
        <f>"2190201Z2001"</f>
        <v>2190201Z2001</v>
      </c>
    </row>
    <row r="219" spans="1:7" ht="15" customHeight="1">
      <c r="A219" s="3">
        <v>217</v>
      </c>
      <c r="B219" s="3" t="str">
        <f t="shared" si="22"/>
        <v>统计学院</v>
      </c>
      <c r="C219" s="3" t="str">
        <f>"抽样调查与应用"</f>
        <v>抽样调查与应用</v>
      </c>
      <c r="D219" s="3" t="str">
        <f>"专业方向课"</f>
        <v>专业方向课</v>
      </c>
      <c r="E219" s="3" t="str">
        <f>"夏怡凡"</f>
        <v>夏怡凡</v>
      </c>
      <c r="F219" s="3" t="str">
        <f>"郁霞"</f>
        <v>郁霞</v>
      </c>
      <c r="G219" s="3" t="str">
        <f>"119020208002"</f>
        <v>119020208002</v>
      </c>
    </row>
    <row r="220" spans="1:7" ht="15" customHeight="1">
      <c r="A220" s="3">
        <v>218</v>
      </c>
      <c r="B220" s="3" t="str">
        <f t="shared" si="22"/>
        <v>统计学院</v>
      </c>
      <c r="C220" s="3" t="str">
        <f>"统计学"</f>
        <v>统计学</v>
      </c>
      <c r="D220" s="3" t="str">
        <f>"大学科基础课"</f>
        <v>大学科基础课</v>
      </c>
      <c r="E220" s="3" t="str">
        <f>"黎春"</f>
        <v>黎春</v>
      </c>
      <c r="F220" s="3" t="str">
        <f>"王晓春"</f>
        <v>王晓春</v>
      </c>
      <c r="G220" s="3" t="str">
        <f>"219020208005"</f>
        <v>219020208005</v>
      </c>
    </row>
    <row r="221" spans="1:7" ht="15" customHeight="1">
      <c r="A221" s="3">
        <v>219</v>
      </c>
      <c r="B221" s="3" t="str">
        <f t="shared" si="22"/>
        <v>统计学院</v>
      </c>
      <c r="C221" s="3" t="str">
        <f>"统计学"</f>
        <v>统计学</v>
      </c>
      <c r="D221" s="3" t="str">
        <f>"大学科基础课"</f>
        <v>大学科基础课</v>
      </c>
      <c r="E221" s="3" t="str">
        <f>"黎春"</f>
        <v>黎春</v>
      </c>
      <c r="F221" s="3" t="str">
        <f>"赵丹"</f>
        <v>赵丹</v>
      </c>
      <c r="G221" s="3" t="str">
        <f>"219020209016"</f>
        <v>219020209016</v>
      </c>
    </row>
    <row r="222" spans="1:7" ht="15" customHeight="1">
      <c r="A222" s="3">
        <v>220</v>
      </c>
      <c r="B222" s="3" t="str">
        <f t="shared" si="22"/>
        <v>统计学院</v>
      </c>
      <c r="C222" s="3" t="str">
        <f>"计量经济学"</f>
        <v>计量经济学</v>
      </c>
      <c r="D222" s="3" t="str">
        <f>"专业必修课"</f>
        <v>专业必修课</v>
      </c>
      <c r="E222" s="3" t="str">
        <f>"范国斌"</f>
        <v>范国斌</v>
      </c>
      <c r="F222" s="3" t="str">
        <f>"文守道"</f>
        <v>文守道</v>
      </c>
      <c r="G222" s="3" t="str">
        <f>"218020208024"</f>
        <v>218020208024</v>
      </c>
    </row>
    <row r="223" spans="1:7" ht="15" customHeight="1">
      <c r="A223" s="3">
        <v>221</v>
      </c>
      <c r="B223" s="3" t="str">
        <f t="shared" si="22"/>
        <v>统计学院</v>
      </c>
      <c r="C223" s="3" t="str">
        <f>"计量经济学"</f>
        <v>计量经济学</v>
      </c>
      <c r="D223" s="3" t="str">
        <f>"专业方向课"</f>
        <v>专业方向课</v>
      </c>
      <c r="E223" s="3" t="str">
        <f>"范国斌"</f>
        <v>范国斌</v>
      </c>
      <c r="F223" s="3" t="str">
        <f>"王思烨"</f>
        <v>王思烨</v>
      </c>
      <c r="G223" s="3" t="str">
        <f>"219020209022"</f>
        <v>219020209022</v>
      </c>
    </row>
    <row r="224" spans="1:7" ht="15" customHeight="1">
      <c r="A224" s="3">
        <v>222</v>
      </c>
      <c r="B224" s="3" t="str">
        <f t="shared" si="22"/>
        <v>统计学院</v>
      </c>
      <c r="C224" s="3" t="str">
        <f>"计量经济学"</f>
        <v>计量经济学</v>
      </c>
      <c r="D224" s="3" t="str">
        <f>"专业必修课"</f>
        <v>专业必修课</v>
      </c>
      <c r="E224" s="3" t="str">
        <f>"范国斌"</f>
        <v>范国斌</v>
      </c>
      <c r="F224" s="3" t="str">
        <f>"王帅"</f>
        <v>王帅</v>
      </c>
      <c r="G224" s="3" t="str">
        <f>"117020208004"</f>
        <v>117020208004</v>
      </c>
    </row>
    <row r="225" spans="1:7" ht="15" customHeight="1">
      <c r="A225" s="3">
        <v>223</v>
      </c>
      <c r="B225" s="3" t="str">
        <f t="shared" si="22"/>
        <v>统计学院</v>
      </c>
      <c r="C225" s="3" t="str">
        <f>"计量经济学MOOC"</f>
        <v>计量经济学MOOC</v>
      </c>
      <c r="D225" s="3" t="str">
        <f>"慕课"</f>
        <v>慕课</v>
      </c>
      <c r="E225" s="3" t="str">
        <f>"范国斌"</f>
        <v>范国斌</v>
      </c>
      <c r="F225" s="3" t="str">
        <f>"唐玲"</f>
        <v>唐玲</v>
      </c>
      <c r="G225" s="3" t="str">
        <f>"219020209003"</f>
        <v>219020209003</v>
      </c>
    </row>
    <row r="226" spans="1:7" ht="15" customHeight="1">
      <c r="A226" s="3">
        <v>224</v>
      </c>
      <c r="B226" s="3" t="str">
        <f t="shared" si="22"/>
        <v>统计学院</v>
      </c>
      <c r="C226" s="3" t="str">
        <f>"计量经济学"</f>
        <v>计量经济学</v>
      </c>
      <c r="D226" s="3" t="str">
        <f aca="true" t="shared" si="25" ref="D226:D231">"大学科基础课"</f>
        <v>大学科基础课</v>
      </c>
      <c r="E226" s="3" t="str">
        <f>"任栋"</f>
        <v>任栋</v>
      </c>
      <c r="F226" s="3" t="str">
        <f>"赵盼"</f>
        <v>赵盼</v>
      </c>
      <c r="G226" s="3" t="str">
        <f>"219020209019"</f>
        <v>219020209019</v>
      </c>
    </row>
    <row r="227" spans="1:7" ht="15" customHeight="1">
      <c r="A227" s="3">
        <v>225</v>
      </c>
      <c r="B227" s="3" t="str">
        <f t="shared" si="22"/>
        <v>统计学院</v>
      </c>
      <c r="C227" s="3" t="str">
        <f>"计量经济学"</f>
        <v>计量经济学</v>
      </c>
      <c r="D227" s="3" t="str">
        <f t="shared" si="25"/>
        <v>大学科基础课</v>
      </c>
      <c r="E227" s="3" t="str">
        <f>"任栋"</f>
        <v>任栋</v>
      </c>
      <c r="F227" s="3" t="str">
        <f>"刘晶莹"</f>
        <v>刘晶莹</v>
      </c>
      <c r="G227" s="3" t="str">
        <f>"219020209024"</f>
        <v>219020209024</v>
      </c>
    </row>
    <row r="228" spans="1:7" ht="15" customHeight="1">
      <c r="A228" s="3">
        <v>226</v>
      </c>
      <c r="B228" s="3" t="str">
        <f t="shared" si="22"/>
        <v>统计学院</v>
      </c>
      <c r="C228" s="3" t="str">
        <f>"统计学"</f>
        <v>统计学</v>
      </c>
      <c r="D228" s="3" t="str">
        <f t="shared" si="25"/>
        <v>大学科基础课</v>
      </c>
      <c r="E228" s="3" t="str">
        <f>"马丹"</f>
        <v>马丹</v>
      </c>
      <c r="F228" s="3" t="str">
        <f>"张婧怡"</f>
        <v>张婧怡</v>
      </c>
      <c r="G228" s="3" t="str">
        <f>"118020208009"</f>
        <v>118020208009</v>
      </c>
    </row>
    <row r="229" spans="1:7" ht="15" customHeight="1">
      <c r="A229" s="3">
        <v>227</v>
      </c>
      <c r="B229" s="3" t="str">
        <f t="shared" si="22"/>
        <v>统计学院</v>
      </c>
      <c r="C229" s="3" t="str">
        <f>"计量经济学"</f>
        <v>计量经济学</v>
      </c>
      <c r="D229" s="3" t="str">
        <f t="shared" si="25"/>
        <v>大学科基础课</v>
      </c>
      <c r="E229" s="3" t="str">
        <f>"喻开志"</f>
        <v>喻开志</v>
      </c>
      <c r="F229" s="3" t="str">
        <f>"贾凯冬"</f>
        <v>贾凯冬</v>
      </c>
      <c r="G229" s="3" t="str">
        <f>"218020104029"</f>
        <v>218020104029</v>
      </c>
    </row>
    <row r="230" spans="1:7" ht="15" customHeight="1">
      <c r="A230" s="3">
        <v>228</v>
      </c>
      <c r="B230" s="3" t="str">
        <f t="shared" si="22"/>
        <v>统计学院</v>
      </c>
      <c r="C230" s="3" t="str">
        <f>"计量经济学"</f>
        <v>计量经济学</v>
      </c>
      <c r="D230" s="3" t="str">
        <f t="shared" si="25"/>
        <v>大学科基础课</v>
      </c>
      <c r="E230" s="3" t="str">
        <f>"龚金国"</f>
        <v>龚金国</v>
      </c>
      <c r="F230" s="3" t="str">
        <f>"郝然"</f>
        <v>郝然</v>
      </c>
      <c r="G230" s="3" t="str">
        <f>"119020209001"</f>
        <v>119020209001</v>
      </c>
    </row>
    <row r="231" spans="1:7" ht="15" customHeight="1">
      <c r="A231" s="3">
        <v>229</v>
      </c>
      <c r="B231" s="3" t="str">
        <f t="shared" si="22"/>
        <v>统计学院</v>
      </c>
      <c r="C231" s="3" t="str">
        <f>"计量经济学"</f>
        <v>计量经济学</v>
      </c>
      <c r="D231" s="3" t="str">
        <f t="shared" si="25"/>
        <v>大学科基础课</v>
      </c>
      <c r="E231" s="3" t="str">
        <f>"马昀蓓"</f>
        <v>马昀蓓</v>
      </c>
      <c r="F231" s="3" t="str">
        <f>"成瑞琪"</f>
        <v>成瑞琪</v>
      </c>
      <c r="G231" s="3" t="str">
        <f>"218020205022"</f>
        <v>218020205022</v>
      </c>
    </row>
    <row r="232" spans="1:7" ht="15" customHeight="1">
      <c r="A232" s="3">
        <v>230</v>
      </c>
      <c r="B232" s="3" t="str">
        <f t="shared" si="22"/>
        <v>统计学院</v>
      </c>
      <c r="C232" s="3" t="str">
        <f>"概率论（理科）"</f>
        <v>概率论（理科）</v>
      </c>
      <c r="D232" s="3" t="str">
        <f>"通识基础课"</f>
        <v>通识基础课</v>
      </c>
      <c r="E232" s="3" t="str">
        <f>"马昀蓓"</f>
        <v>马昀蓓</v>
      </c>
      <c r="F232" s="3" t="str">
        <f>"陶铁来"</f>
        <v>陶铁来</v>
      </c>
      <c r="G232" s="3" t="str">
        <f>"118020209005"</f>
        <v>118020209005</v>
      </c>
    </row>
    <row r="233" spans="1:7" ht="15" customHeight="1">
      <c r="A233" s="3">
        <v>231</v>
      </c>
      <c r="B233" s="3" t="str">
        <f t="shared" si="22"/>
        <v>统计学院</v>
      </c>
      <c r="C233" s="3" t="str">
        <f>"统计学"</f>
        <v>统计学</v>
      </c>
      <c r="D233" s="3" t="str">
        <f>"大学科基础课"</f>
        <v>大学科基础课</v>
      </c>
      <c r="E233" s="3" t="str">
        <f>"苏应生"</f>
        <v>苏应生</v>
      </c>
      <c r="F233" s="3" t="str">
        <f>"幸艳琳"</f>
        <v>幸艳琳</v>
      </c>
      <c r="G233" s="3" t="str">
        <f>"118020204060"</f>
        <v>118020204060</v>
      </c>
    </row>
    <row r="234" spans="1:7" ht="15" customHeight="1">
      <c r="A234" s="3">
        <v>232</v>
      </c>
      <c r="B234" s="3" t="str">
        <f t="shared" si="22"/>
        <v>统计学院</v>
      </c>
      <c r="C234" s="3" t="str">
        <f>"统计学"</f>
        <v>统计学</v>
      </c>
      <c r="D234" s="3" t="str">
        <f>"大学科基础课"</f>
        <v>大学科基础课</v>
      </c>
      <c r="E234" s="3" t="str">
        <f>"苏应生"</f>
        <v>苏应生</v>
      </c>
      <c r="F234" s="3" t="str">
        <f>"尹欣琪"</f>
        <v>尹欣琪</v>
      </c>
      <c r="G234" s="3" t="str">
        <f>"219120100013"</f>
        <v>219120100013</v>
      </c>
    </row>
    <row r="235" spans="1:7" ht="15" customHeight="1">
      <c r="A235" s="3">
        <v>233</v>
      </c>
      <c r="B235" s="3" t="str">
        <f t="shared" si="22"/>
        <v>统计学院</v>
      </c>
      <c r="C235" s="3" t="str">
        <f>"统计学"</f>
        <v>统计学</v>
      </c>
      <c r="D235" s="3" t="str">
        <f>"大学科基础课"</f>
        <v>大学科基础课</v>
      </c>
      <c r="E235" s="3" t="str">
        <f>"苏应生"</f>
        <v>苏应生</v>
      </c>
      <c r="F235" s="3" t="str">
        <f>"胡林秀"</f>
        <v>胡林秀</v>
      </c>
      <c r="G235" s="3" t="str">
        <f>"218120100014"</f>
        <v>218120100014</v>
      </c>
    </row>
    <row r="236" spans="1:7" ht="15" customHeight="1">
      <c r="A236" s="3">
        <v>234</v>
      </c>
      <c r="B236" s="3" t="str">
        <f t="shared" si="22"/>
        <v>统计学院</v>
      </c>
      <c r="C236" s="3" t="str">
        <f aca="true" t="shared" si="26" ref="C236:C241">"计量经济学"</f>
        <v>计量经济学</v>
      </c>
      <c r="D236" s="3" t="str">
        <f>"大学科基础课"</f>
        <v>大学科基础课</v>
      </c>
      <c r="E236" s="3" t="str">
        <f>"刘田"</f>
        <v>刘田</v>
      </c>
      <c r="F236" s="3" t="str">
        <f>"马雅婷"</f>
        <v>马雅婷</v>
      </c>
      <c r="G236" s="3" t="str">
        <f>"219120100004"</f>
        <v>219120100004</v>
      </c>
    </row>
    <row r="237" spans="1:7" ht="15" customHeight="1">
      <c r="A237" s="3">
        <v>235</v>
      </c>
      <c r="B237" s="3" t="str">
        <f t="shared" si="22"/>
        <v>统计学院</v>
      </c>
      <c r="C237" s="3" t="str">
        <f t="shared" si="26"/>
        <v>计量经济学</v>
      </c>
      <c r="D237" s="3" t="str">
        <f>"专业方向课"</f>
        <v>专业方向课</v>
      </c>
      <c r="E237" s="3" t="str">
        <f>"张华节"</f>
        <v>张华节</v>
      </c>
      <c r="F237" s="3" t="str">
        <f>"唐若玥"</f>
        <v>唐若玥</v>
      </c>
      <c r="G237" s="3" t="str">
        <f>"219120100006"</f>
        <v>219120100006</v>
      </c>
    </row>
    <row r="238" spans="1:7" ht="15" customHeight="1">
      <c r="A238" s="3">
        <v>236</v>
      </c>
      <c r="B238" s="3" t="str">
        <f t="shared" si="22"/>
        <v>统计学院</v>
      </c>
      <c r="C238" s="3" t="str">
        <f t="shared" si="26"/>
        <v>计量经济学</v>
      </c>
      <c r="D238" s="3" t="str">
        <f>"专业必修课"</f>
        <v>专业必修课</v>
      </c>
      <c r="E238" s="3" t="str">
        <f>"张华节"</f>
        <v>张华节</v>
      </c>
      <c r="F238" s="3" t="str">
        <f>"陈伟峰"</f>
        <v>陈伟峰</v>
      </c>
      <c r="G238" s="3" t="str">
        <f>"219020209018"</f>
        <v>219020209018</v>
      </c>
    </row>
    <row r="239" spans="1:7" ht="15" customHeight="1">
      <c r="A239" s="3">
        <v>237</v>
      </c>
      <c r="B239" s="3" t="str">
        <f t="shared" si="22"/>
        <v>统计学院</v>
      </c>
      <c r="C239" s="3" t="str">
        <f t="shared" si="26"/>
        <v>计量经济学</v>
      </c>
      <c r="D239" s="3" t="str">
        <f>"专业方向课"</f>
        <v>专业方向课</v>
      </c>
      <c r="E239" s="3" t="str">
        <f>"张华节"</f>
        <v>张华节</v>
      </c>
      <c r="F239" s="3" t="str">
        <f>"刘丽佳"</f>
        <v>刘丽佳</v>
      </c>
      <c r="G239" s="3" t="str">
        <f>"219020209020"</f>
        <v>219020209020</v>
      </c>
    </row>
    <row r="240" spans="1:7" ht="15" customHeight="1">
      <c r="A240" s="3">
        <v>238</v>
      </c>
      <c r="B240" s="3" t="str">
        <f t="shared" si="22"/>
        <v>统计学院</v>
      </c>
      <c r="C240" s="3" t="str">
        <f t="shared" si="26"/>
        <v>计量经济学</v>
      </c>
      <c r="D240" s="3" t="str">
        <f>"大学科基础课"</f>
        <v>大学科基础课</v>
      </c>
      <c r="E240" s="3" t="str">
        <f>"郭建军"</f>
        <v>郭建军</v>
      </c>
      <c r="F240" s="3" t="str">
        <f>"胡新"</f>
        <v>胡新</v>
      </c>
      <c r="G240" s="3" t="str">
        <f>"2180202Z2051"</f>
        <v>2180202Z2051</v>
      </c>
    </row>
    <row r="241" spans="1:7" ht="15" customHeight="1">
      <c r="A241" s="3">
        <v>239</v>
      </c>
      <c r="B241" s="3" t="str">
        <f t="shared" si="22"/>
        <v>统计学院</v>
      </c>
      <c r="C241" s="3" t="str">
        <f t="shared" si="26"/>
        <v>计量经济学</v>
      </c>
      <c r="D241" s="3" t="str">
        <f>"专业必修课"</f>
        <v>专业必修课</v>
      </c>
      <c r="E241" s="3" t="str">
        <f>"孙秀丽"</f>
        <v>孙秀丽</v>
      </c>
      <c r="F241" s="3" t="str">
        <f>"赵金华"</f>
        <v>赵金华</v>
      </c>
      <c r="G241" s="3" t="str">
        <f>"219020209004"</f>
        <v>219020209004</v>
      </c>
    </row>
    <row r="242" spans="1:7" ht="15" customHeight="1">
      <c r="A242" s="3">
        <v>240</v>
      </c>
      <c r="B242" s="3" t="str">
        <f t="shared" si="22"/>
        <v>统计学院</v>
      </c>
      <c r="C242" s="3" t="str">
        <f>"概率论原理"</f>
        <v>概率论原理</v>
      </c>
      <c r="D242" s="3" t="str">
        <f>"通识基础课"</f>
        <v>通识基础课</v>
      </c>
      <c r="E242" s="3" t="str">
        <f>"何婧"</f>
        <v>何婧</v>
      </c>
      <c r="F242" s="3" t="str">
        <f>"朱元正"</f>
        <v>朱元正</v>
      </c>
      <c r="G242" s="3" t="str">
        <f>"118020208001"</f>
        <v>118020208001</v>
      </c>
    </row>
    <row r="243" spans="1:7" ht="15" customHeight="1">
      <c r="A243" s="3">
        <v>241</v>
      </c>
      <c r="B243" s="3" t="str">
        <f t="shared" si="22"/>
        <v>统计学院</v>
      </c>
      <c r="C243" s="3" t="str">
        <f>"统计学"</f>
        <v>统计学</v>
      </c>
      <c r="D243" s="3" t="str">
        <f>"大学科基础课"</f>
        <v>大学科基础课</v>
      </c>
      <c r="E243" s="3" t="str">
        <f>"李俭富"</f>
        <v>李俭富</v>
      </c>
      <c r="F243" s="3" t="str">
        <f>"姜春子"</f>
        <v>姜春子</v>
      </c>
      <c r="G243" s="3" t="str">
        <f>"119020204010"</f>
        <v>119020204010</v>
      </c>
    </row>
    <row r="244" spans="1:7" ht="15" customHeight="1">
      <c r="A244" s="3">
        <v>242</v>
      </c>
      <c r="B244" s="3" t="str">
        <f t="shared" si="22"/>
        <v>统计学院</v>
      </c>
      <c r="C244" s="3" t="str">
        <f>"统计学"</f>
        <v>统计学</v>
      </c>
      <c r="D244" s="3" t="str">
        <f>"大学科基础课"</f>
        <v>大学科基础课</v>
      </c>
      <c r="E244" s="3" t="str">
        <f>"李俭富"</f>
        <v>李俭富</v>
      </c>
      <c r="F244" s="3" t="str">
        <f>"陆堇"</f>
        <v>陆堇</v>
      </c>
      <c r="G244" s="3" t="str">
        <f>"218020204084"</f>
        <v>218020204084</v>
      </c>
    </row>
    <row r="245" spans="1:7" ht="15" customHeight="1">
      <c r="A245" s="3">
        <v>243</v>
      </c>
      <c r="B245" s="3" t="str">
        <f t="shared" si="22"/>
        <v>统计学院</v>
      </c>
      <c r="C245" s="3" t="str">
        <f>"统计学"</f>
        <v>统计学</v>
      </c>
      <c r="D245" s="3" t="str">
        <f>"大学科基础课"</f>
        <v>大学科基础课</v>
      </c>
      <c r="E245" s="3" t="str">
        <f>"陈丹丹"</f>
        <v>陈丹丹</v>
      </c>
      <c r="F245" s="3" t="str">
        <f>"陈映彤"</f>
        <v>陈映彤</v>
      </c>
      <c r="G245" s="3" t="str">
        <f>"218020209030"</f>
        <v>218020209030</v>
      </c>
    </row>
    <row r="246" spans="1:7" ht="15" customHeight="1">
      <c r="A246" s="3">
        <v>244</v>
      </c>
      <c r="B246" s="3" t="str">
        <f t="shared" si="22"/>
        <v>统计学院</v>
      </c>
      <c r="C246" s="3" t="str">
        <f>"数据挖掘与应用"</f>
        <v>数据挖掘与应用</v>
      </c>
      <c r="D246" s="3" t="str">
        <f>"专业方向课"</f>
        <v>专业方向课</v>
      </c>
      <c r="E246" s="3" t="str">
        <f>"张佛德"</f>
        <v>张佛德</v>
      </c>
      <c r="F246" s="3" t="str">
        <f>"聂锦宇"</f>
        <v>聂锦宇</v>
      </c>
      <c r="G246" s="3" t="str">
        <f>"219071400019"</f>
        <v>219071400019</v>
      </c>
    </row>
    <row r="247" spans="1:7" ht="15" customHeight="1">
      <c r="A247" s="3">
        <v>245</v>
      </c>
      <c r="B247" s="3" t="str">
        <f t="shared" si="22"/>
        <v>统计学院</v>
      </c>
      <c r="C247" s="3" t="str">
        <f>"计量经济学"</f>
        <v>计量经济学</v>
      </c>
      <c r="D247" s="3" t="str">
        <f>"大学科基础课"</f>
        <v>大学科基础课</v>
      </c>
      <c r="E247" s="3" t="str">
        <f>"李伊"</f>
        <v>李伊</v>
      </c>
      <c r="F247" s="3" t="str">
        <f>"谭燕"</f>
        <v>谭燕</v>
      </c>
      <c r="G247" s="3" t="str">
        <f>"219020209015"</f>
        <v>219020209015</v>
      </c>
    </row>
    <row r="248" spans="1:7" ht="15" customHeight="1">
      <c r="A248" s="3">
        <v>246</v>
      </c>
      <c r="B248" s="3" t="str">
        <f t="shared" si="22"/>
        <v>统计学院</v>
      </c>
      <c r="C248" s="3" t="str">
        <f>"计量经济学"</f>
        <v>计量经济学</v>
      </c>
      <c r="D248" s="3" t="str">
        <f>"专业必修课"</f>
        <v>专业必修课</v>
      </c>
      <c r="E248" s="3" t="str">
        <f>"干卓泂"</f>
        <v>干卓泂</v>
      </c>
      <c r="F248" s="3" t="str">
        <f>"王惠乔"</f>
        <v>王惠乔</v>
      </c>
      <c r="G248" s="3" t="str">
        <f>"118020209004"</f>
        <v>118020209004</v>
      </c>
    </row>
    <row r="249" spans="1:7" ht="15" customHeight="1">
      <c r="A249" s="3">
        <v>247</v>
      </c>
      <c r="B249" s="3" t="str">
        <f t="shared" si="22"/>
        <v>统计学院</v>
      </c>
      <c r="C249" s="3" t="str">
        <f>"多元统计分析"</f>
        <v>多元统计分析</v>
      </c>
      <c r="D249" s="3" t="str">
        <f>"专业必修课"</f>
        <v>专业必修课</v>
      </c>
      <c r="E249" s="3" t="str">
        <f>"陈雪蓉"</f>
        <v>陈雪蓉</v>
      </c>
      <c r="F249" s="3" t="str">
        <f>"张晨琳"</f>
        <v>张晨琳</v>
      </c>
      <c r="G249" s="3" t="str">
        <f>"218020208025"</f>
        <v>218020208025</v>
      </c>
    </row>
    <row r="250" spans="1:7" ht="15" customHeight="1">
      <c r="A250" s="3">
        <v>248</v>
      </c>
      <c r="B250" s="3" t="str">
        <f t="shared" si="22"/>
        <v>统计学院</v>
      </c>
      <c r="C250" s="3" t="str">
        <f>"时间序列分析"</f>
        <v>时间序列分析</v>
      </c>
      <c r="D250" s="3" t="str">
        <f>"专业必修课"</f>
        <v>专业必修课</v>
      </c>
      <c r="E250" s="3" t="str">
        <f>"周凡吟"</f>
        <v>周凡吟</v>
      </c>
      <c r="F250" s="3" t="str">
        <f>"程文锐"</f>
        <v>程文锐</v>
      </c>
      <c r="G250" s="3" t="str">
        <f>"219071400013"</f>
        <v>219071400013</v>
      </c>
    </row>
    <row r="251" spans="1:7" ht="15" customHeight="1">
      <c r="A251" s="3">
        <v>249</v>
      </c>
      <c r="B251" s="3" t="str">
        <f t="shared" si="22"/>
        <v>统计学院</v>
      </c>
      <c r="C251" s="3" t="str">
        <f>"统计学"</f>
        <v>统计学</v>
      </c>
      <c r="D251" s="3" t="str">
        <f>"大学科基础课"</f>
        <v>大学科基础课</v>
      </c>
      <c r="E251" s="3" t="str">
        <f>"朱莉"</f>
        <v>朱莉</v>
      </c>
      <c r="F251" s="3" t="str">
        <f>"宇文蕙兰"</f>
        <v>宇文蕙兰</v>
      </c>
      <c r="G251" s="3" t="str">
        <f>"119120201006"</f>
        <v>119120201006</v>
      </c>
    </row>
  </sheetData>
  <sheetProtection/>
  <autoFilter ref="A2:Z251"/>
  <mergeCells count="1">
    <mergeCell ref="A1:G1"/>
  </mergeCells>
  <conditionalFormatting sqref="F3:F65536">
    <cfRule type="duplicateValues" priority="1" dxfId="3">
      <formula>AND(COUNTIF($F$3:$F$65536,F3)&gt;1,NOT(ISBLANK(F3)))</formula>
    </cfRule>
    <cfRule type="duplicateValues" priority="2" dxfId="3">
      <formula>AND(COUNTIF($F$3:$F$65536,F3)&gt;1,NOT(ISBLANK(F3)))</formula>
    </cfRule>
    <cfRule type="duplicateValues" priority="3" dxfId="3">
      <formula>AND(COUNTIF($F$3:$F$65536,F3)&gt;1,NOT(ISBLANK(F3)))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史丽婷</dc:creator>
  <cp:keywords/>
  <dc:description/>
  <cp:lastModifiedBy>史丽婷</cp:lastModifiedBy>
  <cp:lastPrinted>2020-07-22T15:38:52Z</cp:lastPrinted>
  <dcterms:created xsi:type="dcterms:W3CDTF">2020-07-22T15:19:04Z</dcterms:created>
  <dcterms:modified xsi:type="dcterms:W3CDTF">2020-07-22T16:49:29Z</dcterms:modified>
  <cp:category/>
  <cp:version/>
  <cp:contentType/>
  <cp:contentStatus/>
</cp:coreProperties>
</file>