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myexcel (13)" sheetId="1" r:id="rId1"/>
  </sheets>
  <definedNames>
    <definedName name="_xlnm._FilterDatabase" localSheetId="0" hidden="1">'myexcel (13)'!$A$2:$G$302</definedName>
  </definedNames>
  <calcPr calcId="144525"/>
</workbook>
</file>

<file path=xl/sharedStrings.xml><?xml version="1.0" encoding="utf-8"?>
<sst xmlns="http://schemas.openxmlformats.org/spreadsheetml/2006/main" count="8" uniqueCount="8">
  <si>
    <t>附件1:2025-2026-1学期本科课程教学助理名单</t>
  </si>
  <si>
    <t>序号</t>
  </si>
  <si>
    <t>学院</t>
  </si>
  <si>
    <t>课程名称</t>
  </si>
  <si>
    <t>开课时间</t>
  </si>
  <si>
    <t>老师姓名</t>
  </si>
  <si>
    <t>学生姓名</t>
  </si>
  <si>
    <t>学号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</si>
</sst>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2"/>
  <sheetViews>
    <sheetView showGridLines="0" tabSelected="1" zoomScaleSheetLayoutView="60" workbookViewId="0">
      <selection activeCell="K17" sqref="K17"/>
    </sheetView>
  </sheetViews>
  <sheetFormatPr defaultColWidth="9" defaultRowHeight="13.5" outlineLevelCol="6"/>
  <cols>
    <col min="1" max="1" width="6.625" style="2" customWidth="1"/>
    <col min="2" max="2" width="11.5" style="2" customWidth="1"/>
    <col min="3" max="3" width="13.875" style="2" customWidth="1"/>
    <col min="4" max="4" width="14.25" style="2" customWidth="1"/>
    <col min="5" max="5" width="7.875" style="2"/>
    <col min="6" max="6" width="8.875" style="2" customWidth="1"/>
    <col min="7" max="7" width="14.125" style="2" customWidth="1"/>
  </cols>
  <sheetData>
    <row r="1" s="1" customFormat="1" ht="18.75" spans="1:7">
      <c r="A1" s="3" t="s">
        <v>0</v>
      </c>
      <c r="B1" s="4"/>
      <c r="C1" s="4"/>
      <c r="D1" s="4"/>
      <c r="E1" s="4"/>
      <c r="F1" s="4"/>
      <c r="G1" s="5"/>
    </row>
    <row r="2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4" spans="1:7">
      <c r="A3" s="7">
        <v>1</v>
      </c>
      <c r="B3" s="7" t="str">
        <f t="shared" ref="B3:B64" si="0">"经济学院"</f>
        <v>经济学院</v>
      </c>
      <c r="C3" s="7" t="str">
        <f>"微观经济学"</f>
        <v>微观经济学</v>
      </c>
      <c r="D3" s="7" t="str">
        <f>"星期二第10-12节{1-17周}"</f>
        <v>星期二第10-12节{1-17周}</v>
      </c>
      <c r="E3" s="7" t="str">
        <f>"李毅"</f>
        <v>李毅</v>
      </c>
      <c r="F3" s="7" t="str">
        <f>"罗佳盼"</f>
        <v>罗佳盼</v>
      </c>
      <c r="G3" s="7" t="str">
        <f>"224020104013"</f>
        <v>224020104013</v>
      </c>
    </row>
    <row r="4" ht="24" spans="1:7">
      <c r="A4" s="7">
        <v>2</v>
      </c>
      <c r="B4" s="7" t="str">
        <f t="shared" si="0"/>
        <v>经济学院</v>
      </c>
      <c r="C4" s="7" t="str">
        <f>"微观经济学"</f>
        <v>微观经济学</v>
      </c>
      <c r="D4" s="7" t="str">
        <f>"星期二第1-3节{1-17周}"</f>
        <v>星期二第1-3节{1-17周}</v>
      </c>
      <c r="E4" s="7" t="str">
        <f>"李毅"</f>
        <v>李毅</v>
      </c>
      <c r="F4" s="7" t="str">
        <f>"吴晓夏"</f>
        <v>吴晓夏</v>
      </c>
      <c r="G4" s="7" t="str">
        <f>"224020104029"</f>
        <v>224020104029</v>
      </c>
    </row>
    <row r="5" ht="24" spans="1:7">
      <c r="A5" s="7">
        <v>3</v>
      </c>
      <c r="B5" s="7" t="str">
        <f t="shared" si="0"/>
        <v>经济学院</v>
      </c>
      <c r="C5" s="7" t="str">
        <f>"政治经济学"</f>
        <v>政治经济学</v>
      </c>
      <c r="D5" s="7" t="str">
        <f>"星期三第1-3节{1-17周}"</f>
        <v>星期三第1-3节{1-17周}</v>
      </c>
      <c r="E5" s="7" t="str">
        <f>"李怡乐"</f>
        <v>李怡乐</v>
      </c>
      <c r="F5" s="7" t="str">
        <f>"邓睿琼"</f>
        <v>邓睿琼</v>
      </c>
      <c r="G5" s="7" t="str">
        <f>"224020104015"</f>
        <v>224020104015</v>
      </c>
    </row>
    <row r="6" ht="24" spans="1:7">
      <c r="A6" s="7">
        <v>4</v>
      </c>
      <c r="B6" s="7" t="str">
        <f t="shared" si="0"/>
        <v>经济学院</v>
      </c>
      <c r="C6" s="7" t="str">
        <f>"政治经济学"</f>
        <v>政治经济学</v>
      </c>
      <c r="D6" s="7" t="str">
        <f>"星期三第6-8节{1-17周}"</f>
        <v>星期三第6-8节{1-17周}</v>
      </c>
      <c r="E6" s="7" t="str">
        <f>"李怡乐"</f>
        <v>李怡乐</v>
      </c>
      <c r="F6" s="7" t="str">
        <f>"文静"</f>
        <v>文静</v>
      </c>
      <c r="G6" s="7" t="str">
        <f>"224020101022"</f>
        <v>224020101022</v>
      </c>
    </row>
    <row r="7" ht="24" spans="1:7">
      <c r="A7" s="7">
        <v>5</v>
      </c>
      <c r="B7" s="7" t="str">
        <f t="shared" si="0"/>
        <v>经济学院</v>
      </c>
      <c r="C7" s="7" t="str">
        <f>"微观经济学"</f>
        <v>微观经济学</v>
      </c>
      <c r="D7" s="7" t="str">
        <f>"星期四第10-12节{1-17周}"</f>
        <v>星期四第10-12节{1-17周}</v>
      </c>
      <c r="E7" s="7" t="str">
        <f>"谢洪燕"</f>
        <v>谢洪燕</v>
      </c>
      <c r="F7" s="7" t="str">
        <f>"施钰杰"</f>
        <v>施钰杰</v>
      </c>
      <c r="G7" s="7" t="str">
        <f>"223020105002"</f>
        <v>223020105002</v>
      </c>
    </row>
    <row r="8" ht="24" spans="1:7">
      <c r="A8" s="7">
        <v>6</v>
      </c>
      <c r="B8" s="7" t="str">
        <f t="shared" si="0"/>
        <v>经济学院</v>
      </c>
      <c r="C8" s="7" t="str">
        <f>"微观经济学"</f>
        <v>微观经济学</v>
      </c>
      <c r="D8" s="7" t="str">
        <f>"星期四第6-8节{1-17周}"</f>
        <v>星期四第6-8节{1-17周}</v>
      </c>
      <c r="E8" s="7" t="str">
        <f>"谢洪燕"</f>
        <v>谢洪燕</v>
      </c>
      <c r="F8" s="7" t="str">
        <f>"师若琳"</f>
        <v>师若琳</v>
      </c>
      <c r="G8" s="7" t="str">
        <f>"224020105006"</f>
        <v>224020105006</v>
      </c>
    </row>
    <row r="9" ht="24" spans="1:7">
      <c r="A9" s="7">
        <v>7</v>
      </c>
      <c r="B9" s="7" t="str">
        <f t="shared" si="0"/>
        <v>经济学院</v>
      </c>
      <c r="C9" s="7" t="str">
        <f>"微观经济学"</f>
        <v>微观经济学</v>
      </c>
      <c r="D9" s="7" t="str">
        <f>"星期三第1-3节{1-17周}"</f>
        <v>星期三第1-3节{1-17周}</v>
      </c>
      <c r="E9" s="7" t="str">
        <f>"鲁利民"</f>
        <v>鲁利民</v>
      </c>
      <c r="F9" s="7" t="str">
        <f>"刘惠惠"</f>
        <v>刘惠惠</v>
      </c>
      <c r="G9" s="7" t="str">
        <f>"1240201Z2002"</f>
        <v>1240201Z2002</v>
      </c>
    </row>
    <row r="10" ht="24" spans="1:7">
      <c r="A10" s="7">
        <v>8</v>
      </c>
      <c r="B10" s="7" t="str">
        <f t="shared" si="0"/>
        <v>经济学院</v>
      </c>
      <c r="C10" s="7" t="str">
        <f>"政治经济学"</f>
        <v>政治经济学</v>
      </c>
      <c r="D10" s="7" t="str">
        <f>"星期三第6-8节{1-17周}"</f>
        <v>星期三第6-8节{1-17周}</v>
      </c>
      <c r="E10" s="7" t="str">
        <f>"陈志舟"</f>
        <v>陈志舟</v>
      </c>
      <c r="F10" s="7" t="str">
        <f>"王亚蕊"</f>
        <v>王亚蕊</v>
      </c>
      <c r="G10" s="7" t="str">
        <f>"224020101021"</f>
        <v>224020101021</v>
      </c>
    </row>
    <row r="11" ht="24" spans="1:7">
      <c r="A11" s="7">
        <v>9</v>
      </c>
      <c r="B11" s="7" t="str">
        <f t="shared" si="0"/>
        <v>经济学院</v>
      </c>
      <c r="C11" s="7" t="str">
        <f>"计量经济学"</f>
        <v>计量经济学</v>
      </c>
      <c r="D11" s="7" t="str">
        <f>"星期二第10-12节{1-17周}"</f>
        <v>星期二第10-12节{1-17周}</v>
      </c>
      <c r="E11" s="7" t="str">
        <f>"徐舒"</f>
        <v>徐舒</v>
      </c>
      <c r="F11" s="7" t="str">
        <f>"蒋炜"</f>
        <v>蒋炜</v>
      </c>
      <c r="G11" s="7" t="str">
        <f>"124020104003"</f>
        <v>124020104003</v>
      </c>
    </row>
    <row r="12" ht="24" spans="1:7">
      <c r="A12" s="7">
        <v>10</v>
      </c>
      <c r="B12" s="7" t="str">
        <f t="shared" si="0"/>
        <v>经济学院</v>
      </c>
      <c r="C12" s="7" t="str">
        <f>"宏观经济学"</f>
        <v>宏观经济学</v>
      </c>
      <c r="D12" s="7" t="str">
        <f>"星期三第1-3节{1-17周}"</f>
        <v>星期三第1-3节{1-17周}</v>
      </c>
      <c r="E12" s="7" t="str">
        <f>"杨慧玲"</f>
        <v>杨慧玲</v>
      </c>
      <c r="F12" s="7" t="str">
        <f>"张振继"</f>
        <v>张振继</v>
      </c>
      <c r="G12" s="7" t="str">
        <f>"122020101001"</f>
        <v>122020101001</v>
      </c>
    </row>
    <row r="13" ht="24" spans="1:7">
      <c r="A13" s="7">
        <v>11</v>
      </c>
      <c r="B13" s="7" t="str">
        <f t="shared" si="0"/>
        <v>经济学院</v>
      </c>
      <c r="C13" s="7" t="str">
        <f>"政治经济学"</f>
        <v>政治经济学</v>
      </c>
      <c r="D13" s="7" t="str">
        <f>"星期四第10-12节{1-17周}"</f>
        <v>星期四第10-12节{1-17周}</v>
      </c>
      <c r="E13" s="7" t="str">
        <f>"王雪苓"</f>
        <v>王雪苓</v>
      </c>
      <c r="F13" s="7" t="str">
        <f>"陈金凤"</f>
        <v>陈金凤</v>
      </c>
      <c r="G13" s="7" t="str">
        <f>"224020101024"</f>
        <v>224020101024</v>
      </c>
    </row>
    <row r="14" ht="24" spans="1:7">
      <c r="A14" s="7">
        <v>12</v>
      </c>
      <c r="B14" s="7" t="str">
        <f t="shared" si="0"/>
        <v>经济学院</v>
      </c>
      <c r="C14" s="7" t="str">
        <f>"政治经济学"</f>
        <v>政治经济学</v>
      </c>
      <c r="D14" s="7" t="str">
        <f>"星期四第1-3节{1-17周}"</f>
        <v>星期四第1-3节{1-17周}</v>
      </c>
      <c r="E14" s="7" t="str">
        <f>"王雪苓"</f>
        <v>王雪苓</v>
      </c>
      <c r="F14" s="7" t="str">
        <f>"徐小涵"</f>
        <v>徐小涵</v>
      </c>
      <c r="G14" s="7" t="str">
        <f>"224020101028"</f>
        <v>224020101028</v>
      </c>
    </row>
    <row r="15" ht="24" spans="1:7">
      <c r="A15" s="7">
        <v>13</v>
      </c>
      <c r="B15" s="7" t="str">
        <f t="shared" si="0"/>
        <v>经济学院</v>
      </c>
      <c r="C15" s="7" t="str">
        <f>"宏观经济学"</f>
        <v>宏观经济学</v>
      </c>
      <c r="D15" s="7" t="str">
        <f>"星期一第5-7节{1-17周}"</f>
        <v>星期一第5-7节{1-17周}</v>
      </c>
      <c r="E15" s="7" t="str">
        <f>"刘畅"</f>
        <v>刘畅</v>
      </c>
      <c r="F15" s="7" t="str">
        <f>"于泱泱"</f>
        <v>于泱泱</v>
      </c>
      <c r="G15" s="7" t="str">
        <f>"121020205003"</f>
        <v>121020205003</v>
      </c>
    </row>
    <row r="16" ht="24" spans="1:7">
      <c r="A16" s="7">
        <v>14</v>
      </c>
      <c r="B16" s="7" t="str">
        <f t="shared" si="0"/>
        <v>经济学院</v>
      </c>
      <c r="C16" s="7" t="str">
        <f>"宏观经济学"</f>
        <v>宏观经济学</v>
      </c>
      <c r="D16" s="7" t="str">
        <f>"星期一第10-12节{1-17周}"</f>
        <v>星期一第10-12节{1-17周}</v>
      </c>
      <c r="E16" s="7" t="str">
        <f>"刘畅"</f>
        <v>刘畅</v>
      </c>
      <c r="F16" s="7" t="str">
        <f>"周美娜"</f>
        <v>周美娜</v>
      </c>
      <c r="G16" s="7" t="str">
        <f>"124020205002"</f>
        <v>124020205002</v>
      </c>
    </row>
    <row r="17" ht="24" spans="1:7">
      <c r="A17" s="7">
        <v>15</v>
      </c>
      <c r="B17" s="7" t="str">
        <f t="shared" si="0"/>
        <v>经济学院</v>
      </c>
      <c r="C17" s="7" t="str">
        <f>"政治经济学"</f>
        <v>政治经济学</v>
      </c>
      <c r="D17" s="7" t="str">
        <f>"星期三第10-12节{1-17周}"</f>
        <v>星期三第10-12节{1-17周}</v>
      </c>
      <c r="E17" s="7" t="str">
        <f>"冯鹏程"</f>
        <v>冯鹏程</v>
      </c>
      <c r="F17" s="7" t="str">
        <f>"许佳佳"</f>
        <v>许佳佳</v>
      </c>
      <c r="G17" s="7" t="str">
        <f>"224020101009"</f>
        <v>224020101009</v>
      </c>
    </row>
    <row r="18" ht="24" spans="1:7">
      <c r="A18" s="7">
        <v>16</v>
      </c>
      <c r="B18" s="7" t="str">
        <f t="shared" si="0"/>
        <v>经济学院</v>
      </c>
      <c r="C18" s="7" t="str">
        <f>"政治经济学"</f>
        <v>政治经济学</v>
      </c>
      <c r="D18" s="7" t="str">
        <f>"星期二第10-12节{1-17周}"</f>
        <v>星期二第10-12节{1-17周}</v>
      </c>
      <c r="E18" s="7" t="str">
        <f>"张航"</f>
        <v>张航</v>
      </c>
      <c r="F18" s="7" t="str">
        <f>"陈孔嘉"</f>
        <v>陈孔嘉</v>
      </c>
      <c r="G18" s="7" t="str">
        <f>"224020101007"</f>
        <v>224020101007</v>
      </c>
    </row>
    <row r="19" ht="24" spans="1:7">
      <c r="A19" s="7">
        <v>17</v>
      </c>
      <c r="B19" s="7" t="str">
        <f t="shared" si="0"/>
        <v>经济学院</v>
      </c>
      <c r="C19" s="7" t="str">
        <f>"政治经济学"</f>
        <v>政治经济学</v>
      </c>
      <c r="D19" s="7" t="str">
        <f>"星期三第10-12节{1-17周}"</f>
        <v>星期三第10-12节{1-17周}</v>
      </c>
      <c r="E19" s="7" t="str">
        <f>"张航"</f>
        <v>张航</v>
      </c>
      <c r="F19" s="7" t="str">
        <f>"商蕴初"</f>
        <v>商蕴初</v>
      </c>
      <c r="G19" s="7" t="str">
        <f>"223020101005"</f>
        <v>223020101005</v>
      </c>
    </row>
    <row r="20" ht="24" spans="1:7">
      <c r="A20" s="7">
        <v>18</v>
      </c>
      <c r="B20" s="7" t="str">
        <f t="shared" si="0"/>
        <v>经济学院</v>
      </c>
      <c r="C20" s="7" t="str">
        <f>"政治经济学"</f>
        <v>政治经济学</v>
      </c>
      <c r="D20" s="7" t="str">
        <f>"星期三第5-7节{1-17周}"</f>
        <v>星期三第5-7节{1-17周}</v>
      </c>
      <c r="E20" s="7" t="str">
        <f>"葛浩阳"</f>
        <v>葛浩阳</v>
      </c>
      <c r="F20" s="7" t="str">
        <f>"劳基"</f>
        <v>劳基</v>
      </c>
      <c r="G20" s="7" t="str">
        <f>"224095137081"</f>
        <v>224095137081</v>
      </c>
    </row>
    <row r="21" ht="24" spans="1:7">
      <c r="A21" s="7">
        <v>19</v>
      </c>
      <c r="B21" s="7" t="str">
        <f t="shared" si="0"/>
        <v>经济学院</v>
      </c>
      <c r="C21" s="7" t="str">
        <f>"宏观经济学"</f>
        <v>宏观经济学</v>
      </c>
      <c r="D21" s="7" t="str">
        <f>"星期三第1-3节{1-17周}"</f>
        <v>星期三第1-3节{1-17周}</v>
      </c>
      <c r="E21" s="7" t="str">
        <f>"陈晓玲"</f>
        <v>陈晓玲</v>
      </c>
      <c r="F21" s="7" t="str">
        <f>"任雯婧"</f>
        <v>任雯婧</v>
      </c>
      <c r="G21" s="7" t="str">
        <f>"224020104028"</f>
        <v>224020104028</v>
      </c>
    </row>
    <row r="22" ht="24" spans="1:7">
      <c r="A22" s="7">
        <v>20</v>
      </c>
      <c r="B22" s="7" t="str">
        <f t="shared" si="0"/>
        <v>经济学院</v>
      </c>
      <c r="C22" s="7" t="str">
        <f>"宏观经济学"</f>
        <v>宏观经济学</v>
      </c>
      <c r="D22" s="7" t="str">
        <f>"星期三第1-3节{1-17周}"</f>
        <v>星期三第1-3节{1-17周}</v>
      </c>
      <c r="E22" s="7" t="str">
        <f>"陈晓玲"</f>
        <v>陈晓玲</v>
      </c>
      <c r="F22" s="7" t="str">
        <f>"姚晴"</f>
        <v>姚晴</v>
      </c>
      <c r="G22" s="7" t="str">
        <f>"224020104010"</f>
        <v>224020104010</v>
      </c>
    </row>
    <row r="23" ht="24" spans="1:7">
      <c r="A23" s="7">
        <v>21</v>
      </c>
      <c r="B23" s="7" t="str">
        <f t="shared" si="0"/>
        <v>经济学院</v>
      </c>
      <c r="C23" s="7" t="str">
        <f>"政治经济学"</f>
        <v>政治经济学</v>
      </c>
      <c r="D23" s="7" t="str">
        <f>"星期二第10-12节{1-17周}"</f>
        <v>星期二第10-12节{1-17周}</v>
      </c>
      <c r="E23" s="7" t="str">
        <f>"姚常成"</f>
        <v>姚常成</v>
      </c>
      <c r="F23" s="7" t="str">
        <f>"刘珍珍"</f>
        <v>刘珍珍</v>
      </c>
      <c r="G23" s="7" t="str">
        <f>"224020101025"</f>
        <v>224020101025</v>
      </c>
    </row>
    <row r="24" ht="24" spans="1:7">
      <c r="A24" s="7">
        <v>22</v>
      </c>
      <c r="B24" s="7" t="str">
        <f t="shared" si="0"/>
        <v>经济学院</v>
      </c>
      <c r="C24" s="7" t="str">
        <f>"政治经济学"</f>
        <v>政治经济学</v>
      </c>
      <c r="D24" s="7" t="str">
        <f>"星期一第5-7节{1-17周}"</f>
        <v>星期一第5-7节{1-17周}</v>
      </c>
      <c r="E24" s="7" t="str">
        <f>"姚常成"</f>
        <v>姚常成</v>
      </c>
      <c r="F24" s="7" t="str">
        <f>"段晓莹"</f>
        <v>段晓莹</v>
      </c>
      <c r="G24" s="7" t="str">
        <f>"123020101004"</f>
        <v>123020101004</v>
      </c>
    </row>
    <row r="25" ht="24" spans="1:7">
      <c r="A25" s="7">
        <v>23</v>
      </c>
      <c r="B25" s="7" t="str">
        <f t="shared" si="0"/>
        <v>经济学院</v>
      </c>
      <c r="C25" s="7" t="str">
        <f>"政治经济学"</f>
        <v>政治经济学</v>
      </c>
      <c r="D25" s="7" t="str">
        <f>"星期五第1-3节{1-17周}"</f>
        <v>星期五第1-3节{1-17周}</v>
      </c>
      <c r="E25" s="7" t="str">
        <f>"田世野"</f>
        <v>田世野</v>
      </c>
      <c r="F25" s="7" t="str">
        <f>"田可可"</f>
        <v>田可可</v>
      </c>
      <c r="G25" s="7" t="str">
        <f>"224020101029"</f>
        <v>224020101029</v>
      </c>
    </row>
    <row r="26" ht="24" spans="1:7">
      <c r="A26" s="7">
        <v>24</v>
      </c>
      <c r="B26" s="7" t="str">
        <f t="shared" si="0"/>
        <v>经济学院</v>
      </c>
      <c r="C26" s="7" t="str">
        <f>"政治经济学"</f>
        <v>政治经济学</v>
      </c>
      <c r="D26" s="7" t="str">
        <f>"星期一第10-12节{1-17周}"</f>
        <v>星期一第10-12节{1-17周}</v>
      </c>
      <c r="E26" s="7" t="str">
        <f>"徐志向"</f>
        <v>徐志向</v>
      </c>
      <c r="F26" s="7" t="str">
        <f>"杨涛年"</f>
        <v>杨涛年</v>
      </c>
      <c r="G26" s="7" t="str">
        <f>"124020101001"</f>
        <v>124020101001</v>
      </c>
    </row>
    <row r="27" ht="24" spans="1:7">
      <c r="A27" s="7">
        <v>25</v>
      </c>
      <c r="B27" s="7" t="str">
        <f t="shared" si="0"/>
        <v>经济学院</v>
      </c>
      <c r="C27" s="7" t="str">
        <f>"微观经济学"</f>
        <v>微观经济学</v>
      </c>
      <c r="D27" s="7" t="str">
        <f>"星期三第10-12节{1-17周}"</f>
        <v>星期三第10-12节{1-17周}</v>
      </c>
      <c r="E27" s="7" t="str">
        <f>"高云舒"</f>
        <v>高云舒</v>
      </c>
      <c r="F27" s="7" t="str">
        <f>"钟琳"</f>
        <v>钟琳</v>
      </c>
      <c r="G27" s="7" t="str">
        <f>"224020204045"</f>
        <v>224020204045</v>
      </c>
    </row>
    <row r="28" ht="24" spans="1:7">
      <c r="A28" s="7">
        <v>26</v>
      </c>
      <c r="B28" s="7" t="str">
        <f t="shared" si="0"/>
        <v>经济学院</v>
      </c>
      <c r="C28" s="7" t="str">
        <f>"政治经济学"</f>
        <v>政治经济学</v>
      </c>
      <c r="D28" s="7" t="str">
        <f>"星期三第5-7节{1-17周}"</f>
        <v>星期三第5-7节{1-17周}</v>
      </c>
      <c r="E28" s="7" t="str">
        <f>"郝芮琳"</f>
        <v>郝芮琳</v>
      </c>
      <c r="F28" s="7" t="str">
        <f>"周家玉"</f>
        <v>周家玉</v>
      </c>
      <c r="G28" s="7" t="str">
        <f>"224020101018"</f>
        <v>224020101018</v>
      </c>
    </row>
    <row r="29" ht="24" spans="1:7">
      <c r="A29" s="7">
        <v>27</v>
      </c>
      <c r="B29" s="7" t="str">
        <f t="shared" si="0"/>
        <v>经济学院</v>
      </c>
      <c r="C29" s="7" t="str">
        <f>"政治经济学"</f>
        <v>政治经济学</v>
      </c>
      <c r="D29" s="7" t="str">
        <f>"星期三第10-12节{1-17周}"</f>
        <v>星期三第10-12节{1-17周}</v>
      </c>
      <c r="E29" s="7" t="str">
        <f>"郝芮琳"</f>
        <v>郝芮琳</v>
      </c>
      <c r="F29" s="7" t="str">
        <f>"邱露"</f>
        <v>邱露</v>
      </c>
      <c r="G29" s="7" t="str">
        <f>"124020205001"</f>
        <v>124020205001</v>
      </c>
    </row>
    <row r="30" ht="24" spans="1:7">
      <c r="A30" s="7">
        <v>28</v>
      </c>
      <c r="B30" s="7" t="str">
        <f t="shared" si="0"/>
        <v>经济学院</v>
      </c>
      <c r="C30" s="7" t="str">
        <f>"微观经济学"</f>
        <v>微观经济学</v>
      </c>
      <c r="D30" s="7" t="str">
        <f>"星期三第5-7节{1-17周}"</f>
        <v>星期三第5-7节{1-17周}</v>
      </c>
      <c r="E30" s="7" t="str">
        <f>"张凯霞"</f>
        <v>张凯霞</v>
      </c>
      <c r="F30" s="7" t="str">
        <f>"施颖怡"</f>
        <v>施颖怡</v>
      </c>
      <c r="G30" s="7" t="str">
        <f>"2220201Z2003"</f>
        <v>2220201Z2003</v>
      </c>
    </row>
    <row r="31" ht="24" spans="1:7">
      <c r="A31" s="7">
        <v>29</v>
      </c>
      <c r="B31" s="7" t="str">
        <f t="shared" si="0"/>
        <v>经济学院</v>
      </c>
      <c r="C31" s="7" t="str">
        <f>"微观经济学"</f>
        <v>微观经济学</v>
      </c>
      <c r="D31" s="7" t="str">
        <f>"星期三第10-12节{1-17周}"</f>
        <v>星期三第10-12节{1-17周}</v>
      </c>
      <c r="E31" s="7" t="str">
        <f>"张凯霞"</f>
        <v>张凯霞</v>
      </c>
      <c r="F31" s="7" t="str">
        <f>"牛子菡"</f>
        <v>牛子菡</v>
      </c>
      <c r="G31" s="7" t="str">
        <f>"2240201Z2003"</f>
        <v>2240201Z2003</v>
      </c>
    </row>
    <row r="32" ht="24" spans="1:7">
      <c r="A32" s="7">
        <v>30</v>
      </c>
      <c r="B32" s="7" t="str">
        <f t="shared" si="0"/>
        <v>经济学院</v>
      </c>
      <c r="C32" s="7" t="str">
        <f>"政治经济学"</f>
        <v>政治经济学</v>
      </c>
      <c r="D32" s="7" t="str">
        <f>"星期四第5-7节{1-17周}"</f>
        <v>星期四第5-7节{1-17周}</v>
      </c>
      <c r="E32" s="7" t="str">
        <f>"陈航"</f>
        <v>陈航</v>
      </c>
      <c r="F32" s="7" t="str">
        <f>"晏晨景"</f>
        <v>晏晨景</v>
      </c>
      <c r="G32" s="7" t="str">
        <f>"123020101001"</f>
        <v>123020101001</v>
      </c>
    </row>
    <row r="33" ht="24" spans="1:7">
      <c r="A33" s="7">
        <v>31</v>
      </c>
      <c r="B33" s="7" t="str">
        <f t="shared" si="0"/>
        <v>经济学院</v>
      </c>
      <c r="C33" s="7" t="str">
        <f>"政治经济学"</f>
        <v>政治经济学</v>
      </c>
      <c r="D33" s="7" t="str">
        <f>"星期四第10-12节{1-17周}"</f>
        <v>星期四第10-12节{1-17周}</v>
      </c>
      <c r="E33" s="7" t="str">
        <f>"陈航"</f>
        <v>陈航</v>
      </c>
      <c r="F33" s="7" t="str">
        <f>"郭思琪"</f>
        <v>郭思琪</v>
      </c>
      <c r="G33" s="7" t="str">
        <f>"224020101020"</f>
        <v>224020101020</v>
      </c>
    </row>
    <row r="34" ht="24" spans="1:7">
      <c r="A34" s="7">
        <v>32</v>
      </c>
      <c r="B34" s="7" t="str">
        <f t="shared" si="0"/>
        <v>经济学院</v>
      </c>
      <c r="C34" s="7" t="str">
        <f>"政治经济学"</f>
        <v>政治经济学</v>
      </c>
      <c r="D34" s="7" t="str">
        <f>"星期四第10-12节{1-17周}"</f>
        <v>星期四第10-12节{1-17周}</v>
      </c>
      <c r="E34" s="7" t="str">
        <f>"韩绿艺"</f>
        <v>韩绿艺</v>
      </c>
      <c r="F34" s="7" t="str">
        <f>"王梦洁"</f>
        <v>王梦洁</v>
      </c>
      <c r="G34" s="7" t="str">
        <f>"123020101002"</f>
        <v>123020101002</v>
      </c>
    </row>
    <row r="35" ht="24" spans="1:7">
      <c r="A35" s="7">
        <v>33</v>
      </c>
      <c r="B35" s="7" t="str">
        <f t="shared" si="0"/>
        <v>经济学院</v>
      </c>
      <c r="C35" s="7" t="str">
        <f>"政治经济学"</f>
        <v>政治经济学</v>
      </c>
      <c r="D35" s="7" t="str">
        <f>"星期四第5-7节{1-17周}"</f>
        <v>星期四第5-7节{1-17周}</v>
      </c>
      <c r="E35" s="7" t="str">
        <f>"韩绿艺"</f>
        <v>韩绿艺</v>
      </c>
      <c r="F35" s="7" t="str">
        <f>"白晗晗"</f>
        <v>白晗晗</v>
      </c>
      <c r="G35" s="7" t="str">
        <f>"122020101003"</f>
        <v>122020101003</v>
      </c>
    </row>
    <row r="36" ht="24" spans="1:7">
      <c r="A36" s="7">
        <v>34</v>
      </c>
      <c r="B36" s="7" t="str">
        <f t="shared" si="0"/>
        <v>经济学院</v>
      </c>
      <c r="C36" s="7" t="str">
        <f>"微观经济学"</f>
        <v>微观经济学</v>
      </c>
      <c r="D36" s="7" t="str">
        <f>"星期三第10-12节{1-17周}"</f>
        <v>星期三第10-12节{1-17周}</v>
      </c>
      <c r="E36" s="7" t="str">
        <f>"徐扬帆"</f>
        <v>徐扬帆</v>
      </c>
      <c r="F36" s="7" t="str">
        <f>"盛依佳"</f>
        <v>盛依佳</v>
      </c>
      <c r="G36" s="7" t="str">
        <f>"223020204123"</f>
        <v>223020204123</v>
      </c>
    </row>
    <row r="37" ht="24" spans="1:7">
      <c r="A37" s="7">
        <v>35</v>
      </c>
      <c r="B37" s="7" t="str">
        <f t="shared" si="0"/>
        <v>经济学院</v>
      </c>
      <c r="C37" s="7" t="str">
        <f>"微观经济学"</f>
        <v>微观经济学</v>
      </c>
      <c r="D37" s="7" t="str">
        <f>"星期四第10-12节{1-17周}"</f>
        <v>星期四第10-12节{1-17周}</v>
      </c>
      <c r="E37" s="7" t="str">
        <f>"刘柯含"</f>
        <v>刘柯含</v>
      </c>
      <c r="F37" s="7" t="str">
        <f>"刘思缘"</f>
        <v>刘思缘</v>
      </c>
      <c r="G37" s="7" t="str">
        <f>"2241202Z5022"</f>
        <v>2241202Z5022</v>
      </c>
    </row>
    <row r="38" ht="24" spans="1:7">
      <c r="A38" s="7">
        <v>36</v>
      </c>
      <c r="B38" s="7" t="str">
        <f t="shared" si="0"/>
        <v>经济学院</v>
      </c>
      <c r="C38" s="7" t="str">
        <f>"微观经济学"</f>
        <v>微观经济学</v>
      </c>
      <c r="D38" s="7" t="str">
        <f>"星期四第5-7节{1-17周}"</f>
        <v>星期四第5-7节{1-17周}</v>
      </c>
      <c r="E38" s="7" t="str">
        <f>"刘柯含"</f>
        <v>刘柯含</v>
      </c>
      <c r="F38" s="7" t="str">
        <f>"周薇"</f>
        <v>周薇</v>
      </c>
      <c r="G38" s="7" t="str">
        <f>"123020105002"</f>
        <v>123020105002</v>
      </c>
    </row>
    <row r="39" ht="24" spans="1:7">
      <c r="A39" s="7">
        <v>37</v>
      </c>
      <c r="B39" s="7" t="str">
        <f t="shared" si="0"/>
        <v>经济学院</v>
      </c>
      <c r="C39" s="7" t="str">
        <f>"政治经济学"</f>
        <v>政治经济学</v>
      </c>
      <c r="D39" s="7" t="str">
        <f>"星期四第10-12节{1-17周}"</f>
        <v>星期四第10-12节{1-17周}</v>
      </c>
      <c r="E39" s="7" t="str">
        <f>"王卫卿"</f>
        <v>王卫卿</v>
      </c>
      <c r="F39" s="7" t="str">
        <f>"刘芳莲"</f>
        <v>刘芳莲</v>
      </c>
      <c r="G39" s="7" t="str">
        <f>"223020101016"</f>
        <v>223020101016</v>
      </c>
    </row>
    <row r="40" ht="24" spans="1:7">
      <c r="A40" s="7">
        <v>38</v>
      </c>
      <c r="B40" s="7" t="str">
        <f t="shared" si="0"/>
        <v>经济学院</v>
      </c>
      <c r="C40" s="7" t="str">
        <f>"政治经济学"</f>
        <v>政治经济学</v>
      </c>
      <c r="D40" s="7" t="str">
        <f>"星期四第5-7节{1-17周}"</f>
        <v>星期四第5-7节{1-17周}</v>
      </c>
      <c r="E40" s="7" t="str">
        <f>"王卫卿"</f>
        <v>王卫卿</v>
      </c>
      <c r="F40" s="7" t="str">
        <f>"朱敏"</f>
        <v>朱敏</v>
      </c>
      <c r="G40" s="7" t="str">
        <f>"124020101005"</f>
        <v>124020101005</v>
      </c>
    </row>
    <row r="41" ht="24" spans="1:7">
      <c r="A41" s="7">
        <v>39</v>
      </c>
      <c r="B41" s="7" t="str">
        <f t="shared" si="0"/>
        <v>经济学院</v>
      </c>
      <c r="C41" s="7" t="str">
        <f>"大数据与计量经济学"</f>
        <v>大数据与计量经济学</v>
      </c>
      <c r="D41" s="7" t="str">
        <f>"星期二第1-3节{1-17周}"</f>
        <v>星期二第1-3节{1-17周}</v>
      </c>
      <c r="E41" s="7" t="str">
        <f>"王貂"</f>
        <v>王貂</v>
      </c>
      <c r="F41" s="7" t="str">
        <f>"王思力"</f>
        <v>王思力</v>
      </c>
      <c r="G41" s="7" t="str">
        <f>"124020104002"</f>
        <v>124020104002</v>
      </c>
    </row>
    <row r="42" ht="24" spans="1:7">
      <c r="A42" s="7">
        <v>40</v>
      </c>
      <c r="B42" s="7" t="str">
        <f t="shared" si="0"/>
        <v>经济学院</v>
      </c>
      <c r="C42" s="7" t="str">
        <f>"大数据与计量经济学"</f>
        <v>大数据与计量经济学</v>
      </c>
      <c r="D42" s="7" t="str">
        <f>"星期一第10-12节{1-17周}"</f>
        <v>星期一第10-12节{1-17周}</v>
      </c>
      <c r="E42" s="7" t="str">
        <f>"肖翰"</f>
        <v>肖翰</v>
      </c>
      <c r="F42" s="7" t="str">
        <f>"李胡建"</f>
        <v>李胡建</v>
      </c>
      <c r="G42" s="7" t="str">
        <f>"124020104009"</f>
        <v>124020104009</v>
      </c>
    </row>
    <row r="43" ht="24" spans="1:7">
      <c r="A43" s="7">
        <v>41</v>
      </c>
      <c r="B43" s="7" t="str">
        <f t="shared" si="0"/>
        <v>经济学院</v>
      </c>
      <c r="C43" s="7" t="str">
        <f>"宏观经济学"</f>
        <v>宏观经济学</v>
      </c>
      <c r="D43" s="7" t="str">
        <f>"星期二第10-12节{1-17周}"</f>
        <v>星期二第10-12节{1-17周}</v>
      </c>
      <c r="E43" s="7" t="str">
        <f>"周荃"</f>
        <v>周荃</v>
      </c>
      <c r="F43" s="7" t="str">
        <f>"周家丹"</f>
        <v>周家丹</v>
      </c>
      <c r="G43" s="7" t="str">
        <f>"223020204110"</f>
        <v>223020204110</v>
      </c>
    </row>
    <row r="44" ht="24" spans="1:7">
      <c r="A44" s="7">
        <v>42</v>
      </c>
      <c r="B44" s="7" t="str">
        <f t="shared" si="0"/>
        <v>经济学院</v>
      </c>
      <c r="C44" s="7" t="str">
        <f>"微观经济学"</f>
        <v>微观经济学</v>
      </c>
      <c r="D44" s="7" t="str">
        <f>"星期三第10-12节{1-17周}"</f>
        <v>星期三第10-12节{1-17周}</v>
      </c>
      <c r="E44" s="7" t="str">
        <f>"李小帆"</f>
        <v>李小帆</v>
      </c>
      <c r="F44" s="7" t="str">
        <f>"李慧哲"</f>
        <v>李慧哲</v>
      </c>
      <c r="G44" s="7" t="str">
        <f>"223020204140"</f>
        <v>223020204140</v>
      </c>
    </row>
    <row r="45" ht="24" spans="1:7">
      <c r="A45" s="7">
        <v>43</v>
      </c>
      <c r="B45" s="7" t="str">
        <f t="shared" si="0"/>
        <v>经济学院</v>
      </c>
      <c r="C45" s="7" t="str">
        <f>"微观经济学"</f>
        <v>微观经济学</v>
      </c>
      <c r="D45" s="7" t="str">
        <f>"星期三第10-12节{1-17周}"</f>
        <v>星期三第10-12节{1-17周}</v>
      </c>
      <c r="E45" s="7" t="str">
        <f>"张琬晴"</f>
        <v>张琬晴</v>
      </c>
      <c r="F45" s="7" t="str">
        <f>"周书通"</f>
        <v>周书通</v>
      </c>
      <c r="G45" s="7" t="str">
        <f>"123020204022"</f>
        <v>123020204022</v>
      </c>
    </row>
    <row r="46" ht="24" spans="1:7">
      <c r="A46" s="7">
        <v>44</v>
      </c>
      <c r="B46" s="7" t="str">
        <f t="shared" si="0"/>
        <v>经济学院</v>
      </c>
      <c r="C46" s="7" t="str">
        <f>"微观经济学"</f>
        <v>微观经济学</v>
      </c>
      <c r="D46" s="7" t="str">
        <f>"星期四第10-12节{1-17周}"</f>
        <v>星期四第10-12节{1-17周}</v>
      </c>
      <c r="E46" s="7" t="str">
        <f>"张琬晴"</f>
        <v>张琬晴</v>
      </c>
      <c r="F46" s="7" t="str">
        <f>"雷熙玲"</f>
        <v>雷熙玲</v>
      </c>
      <c r="G46" s="7" t="str">
        <f>"124020207001"</f>
        <v>124020207001</v>
      </c>
    </row>
    <row r="47" ht="24" spans="1:7">
      <c r="A47" s="7">
        <v>45</v>
      </c>
      <c r="B47" s="7" t="str">
        <f t="shared" si="0"/>
        <v>经济学院</v>
      </c>
      <c r="C47" s="7" t="str">
        <f>"微观经济学"</f>
        <v>微观经济学</v>
      </c>
      <c r="D47" s="7" t="str">
        <f>"星期一第6-8节{1-17周}"</f>
        <v>星期一第6-8节{1-17周}</v>
      </c>
      <c r="E47" s="7" t="str">
        <f>"何欣悦"</f>
        <v>何欣悦</v>
      </c>
      <c r="F47" s="7" t="str">
        <f>"李云飞"</f>
        <v>李云飞</v>
      </c>
      <c r="G47" s="7" t="str">
        <f>"124020106004"</f>
        <v>124020106004</v>
      </c>
    </row>
    <row r="48" ht="24" spans="1:7">
      <c r="A48" s="7">
        <v>46</v>
      </c>
      <c r="B48" s="7" t="str">
        <f t="shared" si="0"/>
        <v>经济学院</v>
      </c>
      <c r="C48" s="7" t="str">
        <f>"大数据与计量经济学"</f>
        <v>大数据与计量经济学</v>
      </c>
      <c r="D48" s="7" t="str">
        <f>"星期二第10-12节{1-17周}"</f>
        <v>星期二第10-12节{1-17周}</v>
      </c>
      <c r="E48" s="7" t="str">
        <f>"马祥"</f>
        <v>马祥</v>
      </c>
      <c r="F48" s="7" t="str">
        <f>"李宗翰"</f>
        <v>李宗翰</v>
      </c>
      <c r="G48" s="7" t="str">
        <f>"124020204030"</f>
        <v>124020204030</v>
      </c>
    </row>
    <row r="49" ht="24" spans="1:7">
      <c r="A49" s="7">
        <v>47</v>
      </c>
      <c r="B49" s="7" t="str">
        <f t="shared" si="0"/>
        <v>经济学院</v>
      </c>
      <c r="C49" s="7" t="str">
        <f>"宏观经济学（英）"</f>
        <v>宏观经济学（英）</v>
      </c>
      <c r="D49" s="7" t="str">
        <f>"星期三第10-12节{1-17周}"</f>
        <v>星期三第10-12节{1-17周}</v>
      </c>
      <c r="E49" s="7" t="str">
        <f>"梁鑫"</f>
        <v>梁鑫</v>
      </c>
      <c r="F49" s="7" t="str">
        <f>"刘庆超"</f>
        <v>刘庆超</v>
      </c>
      <c r="G49" s="7" t="str">
        <f>"123020204007"</f>
        <v>123020204007</v>
      </c>
    </row>
    <row r="50" ht="24" spans="1:7">
      <c r="A50" s="7">
        <v>48</v>
      </c>
      <c r="B50" s="7" t="str">
        <f t="shared" si="0"/>
        <v>经济学院</v>
      </c>
      <c r="C50" s="7" t="str">
        <f>"宏观经济学"</f>
        <v>宏观经济学</v>
      </c>
      <c r="D50" s="7" t="str">
        <f>"星期一第10-12节{1-17周}"</f>
        <v>星期一第10-12节{1-17周}</v>
      </c>
      <c r="E50" s="7" t="str">
        <f>"王子奇"</f>
        <v>王子奇</v>
      </c>
      <c r="F50" s="7" t="str">
        <f>"李敬"</f>
        <v>李敬</v>
      </c>
      <c r="G50" s="7" t="str">
        <f>"224020208004"</f>
        <v>224020208004</v>
      </c>
    </row>
    <row r="51" ht="24" spans="1:7">
      <c r="A51" s="7">
        <v>49</v>
      </c>
      <c r="B51" s="7" t="str">
        <f t="shared" si="0"/>
        <v>经济学院</v>
      </c>
      <c r="C51" s="7" t="str">
        <f>"政治经济学"</f>
        <v>政治经济学</v>
      </c>
      <c r="D51" s="7" t="str">
        <f>"星期二第1-3节{1-17周}"</f>
        <v>星期二第1-3节{1-17周}</v>
      </c>
      <c r="E51" s="7" t="str">
        <f>"刘子嘉"</f>
        <v>刘子嘉</v>
      </c>
      <c r="F51" s="7" t="str">
        <f>"陈子祥"</f>
        <v>陈子祥</v>
      </c>
      <c r="G51" s="7" t="str">
        <f>"224020101015"</f>
        <v>224020101015</v>
      </c>
    </row>
    <row r="52" ht="24" spans="1:7">
      <c r="A52" s="7">
        <v>50</v>
      </c>
      <c r="B52" s="7" t="str">
        <f t="shared" si="0"/>
        <v>经济学院</v>
      </c>
      <c r="C52" s="7" t="str">
        <f>"微观经济学"</f>
        <v>微观经济学</v>
      </c>
      <c r="D52" s="7" t="str">
        <f>"星期三第6-8节{1-17周}"</f>
        <v>星期三第6-8节{1-17周}</v>
      </c>
      <c r="E52" s="7" t="str">
        <f>"王帝"</f>
        <v>王帝</v>
      </c>
      <c r="F52" s="7" t="str">
        <f>"郑智文"</f>
        <v>郑智文</v>
      </c>
      <c r="G52" s="7" t="str">
        <f>"1220201Z3002"</f>
        <v>1220201Z3002</v>
      </c>
    </row>
    <row r="53" ht="24" spans="1:7">
      <c r="A53" s="7">
        <v>51</v>
      </c>
      <c r="B53" s="7" t="str">
        <f t="shared" si="0"/>
        <v>经济学院</v>
      </c>
      <c r="C53" s="7" t="str">
        <f>"微观经济学"</f>
        <v>微观经济学</v>
      </c>
      <c r="D53" s="7" t="str">
        <f>"星期三第6-8节{1-17周}"</f>
        <v>星期三第6-8节{1-17周}</v>
      </c>
      <c r="E53" s="7" t="str">
        <f>"黄大康"</f>
        <v>黄大康</v>
      </c>
      <c r="F53" s="7" t="str">
        <f>"刘柏一"</f>
        <v>刘柏一</v>
      </c>
      <c r="G53" s="7" t="str">
        <f>"2240202J6002"</f>
        <v>2240202J6002</v>
      </c>
    </row>
    <row r="54" ht="24" spans="1:7">
      <c r="A54" s="7">
        <v>52</v>
      </c>
      <c r="B54" s="7" t="str">
        <f t="shared" si="0"/>
        <v>经济学院</v>
      </c>
      <c r="C54" s="7" t="str">
        <f>"微观经济学"</f>
        <v>微观经济学</v>
      </c>
      <c r="D54" s="7" t="str">
        <f>"星期四第10-12节{1-17周}"</f>
        <v>星期四第10-12节{1-17周}</v>
      </c>
      <c r="E54" s="7" t="str">
        <f>"林熙"</f>
        <v>林熙</v>
      </c>
      <c r="F54" s="7" t="str">
        <f>"李雨琦"</f>
        <v>李雨琦</v>
      </c>
      <c r="G54" s="7" t="str">
        <f>"124020101002"</f>
        <v>124020101002</v>
      </c>
    </row>
    <row r="55" ht="24" spans="1:7">
      <c r="A55" s="7">
        <v>53</v>
      </c>
      <c r="B55" s="7" t="str">
        <f t="shared" si="0"/>
        <v>经济学院</v>
      </c>
      <c r="C55" s="7" t="str">
        <f>"微观经济学"</f>
        <v>微观经济学</v>
      </c>
      <c r="D55" s="7" t="str">
        <f>"星期四第5-7节{1-17周}"</f>
        <v>星期四第5-7节{1-17周}</v>
      </c>
      <c r="E55" s="7" t="str">
        <f>"林熙"</f>
        <v>林熙</v>
      </c>
      <c r="F55" s="7" t="str">
        <f>"李晶维"</f>
        <v>李晶维</v>
      </c>
      <c r="G55" s="7" t="str">
        <f>"123020101003"</f>
        <v>123020101003</v>
      </c>
    </row>
    <row r="56" ht="24" spans="1:7">
      <c r="A56" s="7">
        <v>54</v>
      </c>
      <c r="B56" s="7" t="str">
        <f t="shared" si="0"/>
        <v>经济学院</v>
      </c>
      <c r="C56" s="7" t="str">
        <f>"微观经济学"</f>
        <v>微观经济学</v>
      </c>
      <c r="D56" s="7" t="str">
        <f>"星期四第10-12节{1-17周}"</f>
        <v>星期四第10-12节{1-17周}</v>
      </c>
      <c r="E56" s="7" t="str">
        <f>"李元哲"</f>
        <v>李元哲</v>
      </c>
      <c r="F56" s="7" t="str">
        <f>"张春兰"</f>
        <v>张春兰</v>
      </c>
      <c r="G56" s="7" t="str">
        <f>"124020103001"</f>
        <v>124020103001</v>
      </c>
    </row>
    <row r="57" ht="24" spans="1:7">
      <c r="A57" s="7">
        <v>55</v>
      </c>
      <c r="B57" s="7" t="str">
        <f t="shared" si="0"/>
        <v>经济学院</v>
      </c>
      <c r="C57" s="7" t="str">
        <f>"宏观经济学"</f>
        <v>宏观经济学</v>
      </c>
      <c r="D57" s="7" t="str">
        <f>"星期三第1-3节{1-17周}"</f>
        <v>星期三第1-3节{1-17周}</v>
      </c>
      <c r="E57" s="7" t="str">
        <f>"魏文博"</f>
        <v>魏文博</v>
      </c>
      <c r="F57" s="7" t="str">
        <f>"梁怡"</f>
        <v>梁怡</v>
      </c>
      <c r="G57" s="7" t="str">
        <f>"223020104009"</f>
        <v>223020104009</v>
      </c>
    </row>
    <row r="58" ht="24" spans="1:7">
      <c r="A58" s="7">
        <v>56</v>
      </c>
      <c r="B58" s="7" t="str">
        <f t="shared" si="0"/>
        <v>经济学院</v>
      </c>
      <c r="C58" s="7" t="str">
        <f>"宏观经济学"</f>
        <v>宏观经济学</v>
      </c>
      <c r="D58" s="7" t="str">
        <f>"星期三第10-12节{1-17周}"</f>
        <v>星期三第10-12节{1-17周}</v>
      </c>
      <c r="E58" s="7" t="str">
        <f>"魏文博"</f>
        <v>魏文博</v>
      </c>
      <c r="F58" s="7" t="str">
        <f>"王林林"</f>
        <v>王林林</v>
      </c>
      <c r="G58" s="7" t="str">
        <f>"123020104001"</f>
        <v>123020104001</v>
      </c>
    </row>
    <row r="59" ht="24" spans="1:7">
      <c r="A59" s="7">
        <v>57</v>
      </c>
      <c r="B59" s="7" t="str">
        <f t="shared" si="0"/>
        <v>经济学院</v>
      </c>
      <c r="C59" s="7" t="str">
        <f>"微观经济学"</f>
        <v>微观经济学</v>
      </c>
      <c r="D59" s="7" t="str">
        <f>"星期四第6-8节{1-17周}"</f>
        <v>星期四第6-8节{1-17周}</v>
      </c>
      <c r="E59" s="7" t="str">
        <f>"盛大林"</f>
        <v>盛大林</v>
      </c>
      <c r="F59" s="7" t="str">
        <f>"姜倩"</f>
        <v>姜倩</v>
      </c>
      <c r="G59" s="7" t="str">
        <f>"2230202J6006"</f>
        <v>2230202J6006</v>
      </c>
    </row>
    <row r="60" ht="24" spans="1:7">
      <c r="A60" s="7">
        <v>58</v>
      </c>
      <c r="B60" s="7" t="str">
        <f t="shared" si="0"/>
        <v>经济学院</v>
      </c>
      <c r="C60" s="7" t="str">
        <f>"微观经济学"</f>
        <v>微观经济学</v>
      </c>
      <c r="D60" s="7" t="str">
        <f>"星期三第7-9节{1-17周}"</f>
        <v>星期三第7-9节{1-17周}</v>
      </c>
      <c r="E60" s="7" t="str">
        <f>"盛大林"</f>
        <v>盛大林</v>
      </c>
      <c r="F60" s="7" t="str">
        <f>"张诗怡"</f>
        <v>张诗怡</v>
      </c>
      <c r="G60" s="7" t="str">
        <f>"2230201Z3003"</f>
        <v>2230201Z3003</v>
      </c>
    </row>
    <row r="61" ht="24" spans="1:7">
      <c r="A61" s="7">
        <v>59</v>
      </c>
      <c r="B61" s="7" t="str">
        <f t="shared" si="0"/>
        <v>经济学院</v>
      </c>
      <c r="C61" s="7" t="str">
        <f>"微观经济学"</f>
        <v>微观经济学</v>
      </c>
      <c r="D61" s="7" t="str">
        <f>"星期三第1-3节{1-17周}"</f>
        <v>星期三第1-3节{1-17周}</v>
      </c>
      <c r="E61" s="7" t="str">
        <f>"杨璐"</f>
        <v>杨璐</v>
      </c>
      <c r="F61" s="7" t="str">
        <f>"张翰彬"</f>
        <v>张翰彬</v>
      </c>
      <c r="G61" s="7" t="str">
        <f>"1230201Z2001"</f>
        <v>1230201Z2001</v>
      </c>
    </row>
    <row r="62" ht="24" spans="1:7">
      <c r="A62" s="7">
        <v>60</v>
      </c>
      <c r="B62" s="7" t="str">
        <f t="shared" si="0"/>
        <v>经济学院</v>
      </c>
      <c r="C62" s="7" t="str">
        <f>"微观经济学"</f>
        <v>微观经济学</v>
      </c>
      <c r="D62" s="7" t="str">
        <f>"星期三第1-3节{1-17周}"</f>
        <v>星期三第1-3节{1-17周}</v>
      </c>
      <c r="E62" s="7" t="str">
        <f>"杨璐"</f>
        <v>杨璐</v>
      </c>
      <c r="F62" s="7" t="str">
        <f>"李瑞茜"</f>
        <v>李瑞茜</v>
      </c>
      <c r="G62" s="7" t="str">
        <f>"223020104007"</f>
        <v>223020104007</v>
      </c>
    </row>
    <row r="63" ht="24" spans="1:7">
      <c r="A63" s="7">
        <v>61</v>
      </c>
      <c r="B63" s="7" t="str">
        <f t="shared" si="0"/>
        <v>经济学院</v>
      </c>
      <c r="C63" s="7" t="str">
        <f>"宏观经济学"</f>
        <v>宏观经济学</v>
      </c>
      <c r="D63" s="7" t="str">
        <f>"星期一第10-12节{1-17周}"</f>
        <v>星期一第10-12节{1-17周}</v>
      </c>
      <c r="E63" s="7" t="str">
        <f>"李方卓"</f>
        <v>李方卓</v>
      </c>
      <c r="F63" s="7" t="str">
        <f>"刘杰瑞"</f>
        <v>刘杰瑞</v>
      </c>
      <c r="G63" s="7" t="str">
        <f>"224020209001"</f>
        <v>224020209001</v>
      </c>
    </row>
    <row r="64" ht="24" spans="1:7">
      <c r="A64" s="7">
        <v>62</v>
      </c>
      <c r="B64" s="7" t="str">
        <f t="shared" si="0"/>
        <v>经济学院</v>
      </c>
      <c r="C64" s="7" t="str">
        <f>"宏观经济学"</f>
        <v>宏观经济学</v>
      </c>
      <c r="D64" s="7" t="str">
        <f>"星期二第10-12节{1-17周}"</f>
        <v>星期二第10-12节{1-17周}</v>
      </c>
      <c r="E64" s="7" t="str">
        <f>"李方卓"</f>
        <v>李方卓</v>
      </c>
      <c r="F64" s="7" t="str">
        <f>"汪怡彤"</f>
        <v>汪怡彤</v>
      </c>
      <c r="G64" s="7" t="str">
        <f>"223020101013"</f>
        <v>223020101013</v>
      </c>
    </row>
    <row r="65" ht="24" spans="1:7">
      <c r="A65" s="7">
        <v>63</v>
      </c>
      <c r="B65" s="7" t="str">
        <f t="shared" ref="B65:B70" si="1">"会计学院"</f>
        <v>会计学院</v>
      </c>
      <c r="C65" s="7" t="str">
        <f>"会计学"</f>
        <v>会计学</v>
      </c>
      <c r="D65" s="7" t="str">
        <f>"星期一第10-12节{1-17周}"</f>
        <v>星期一第10-12节{1-17周}</v>
      </c>
      <c r="E65" s="7" t="str">
        <f>"邓博夫"</f>
        <v>邓博夫</v>
      </c>
      <c r="F65" s="7" t="str">
        <f>"佘静雨"</f>
        <v>佘静雨</v>
      </c>
      <c r="G65" s="7" t="str">
        <f>"2241202Z6012"</f>
        <v>2241202Z6012</v>
      </c>
    </row>
    <row r="66" ht="24" spans="1:7">
      <c r="A66" s="7">
        <v>64</v>
      </c>
      <c r="B66" s="7" t="str">
        <f t="shared" si="1"/>
        <v>会计学院</v>
      </c>
      <c r="C66" s="7" t="str">
        <f>"会计学"</f>
        <v>会计学</v>
      </c>
      <c r="D66" s="7" t="str">
        <f>"星期四第10-12节{1-17周}"</f>
        <v>星期四第10-12节{1-17周}</v>
      </c>
      <c r="E66" s="7" t="str">
        <f>"李朝霞"</f>
        <v>李朝霞</v>
      </c>
      <c r="F66" s="7" t="str">
        <f>"马睛"</f>
        <v>马睛</v>
      </c>
      <c r="G66" s="7" t="str">
        <f>"1221202Z7001"</f>
        <v>1221202Z7001</v>
      </c>
    </row>
    <row r="67" ht="36" spans="1:7">
      <c r="A67" s="7">
        <v>65</v>
      </c>
      <c r="B67" s="7" t="str">
        <f t="shared" si="1"/>
        <v>会计学院</v>
      </c>
      <c r="C67" s="7" t="str">
        <f>"会计学原理（FA1，英语）"</f>
        <v>会计学原理（FA1，英语）</v>
      </c>
      <c r="D67" s="7" t="str">
        <f>"星期一第10-12节{1-17周}，星期四第5-6节{1-17周}"</f>
        <v>星期一第10-12节{1-17周}，星期四第5-6节{1-17周}</v>
      </c>
      <c r="E67" s="7" t="str">
        <f>"陈逸飞"</f>
        <v>陈逸飞</v>
      </c>
      <c r="F67" s="7" t="str">
        <f>"刘亮"</f>
        <v>刘亮</v>
      </c>
      <c r="G67" s="7" t="str">
        <f>"121120201009"</f>
        <v>121120201009</v>
      </c>
    </row>
    <row r="68" ht="36" spans="1:7">
      <c r="A68" s="7">
        <v>66</v>
      </c>
      <c r="B68" s="7" t="str">
        <f t="shared" si="1"/>
        <v>会计学院</v>
      </c>
      <c r="C68" s="7" t="str">
        <f>"会计学原理（FA1，英语）"</f>
        <v>会计学原理（FA1，英语）</v>
      </c>
      <c r="D68" s="7" t="str">
        <f>"星期二第10-12节{1-17周}，星期四第7-8节{1-17周}"</f>
        <v>星期二第10-12节{1-17周}，星期四第7-8节{1-17周}</v>
      </c>
      <c r="E68" s="7" t="str">
        <f>"陈逸飞"</f>
        <v>陈逸飞</v>
      </c>
      <c r="F68" s="7" t="str">
        <f>"张齐"</f>
        <v>张齐</v>
      </c>
      <c r="G68" s="7" t="str">
        <f>"124120201014"</f>
        <v>124120201014</v>
      </c>
    </row>
    <row r="69" ht="36" spans="1:7">
      <c r="A69" s="7">
        <v>67</v>
      </c>
      <c r="B69" s="7" t="str">
        <f t="shared" si="1"/>
        <v>会计学院</v>
      </c>
      <c r="C69" s="7" t="str">
        <f>"会计学原理（FA1，英语）"</f>
        <v>会计学原理（FA1，英语）</v>
      </c>
      <c r="D69" s="7" t="str">
        <f>"星期二第1-2节{1-17周}，星期五第5-7节{1-17周}"</f>
        <v>星期二第1-2节{1-17周}，星期五第5-7节{1-17周}</v>
      </c>
      <c r="E69" s="7" t="str">
        <f>"雷雷"</f>
        <v>雷雷</v>
      </c>
      <c r="F69" s="7" t="str">
        <f>"武浩"</f>
        <v>武浩</v>
      </c>
      <c r="G69" s="7" t="str">
        <f>"123120201010"</f>
        <v>123120201010</v>
      </c>
    </row>
    <row r="70" ht="36" spans="1:7">
      <c r="A70" s="7">
        <v>68</v>
      </c>
      <c r="B70" s="7" t="str">
        <f t="shared" si="1"/>
        <v>会计学院</v>
      </c>
      <c r="C70" s="7" t="str">
        <f>"会计学原理（FA1，英语）"</f>
        <v>会计学原理（FA1，英语）</v>
      </c>
      <c r="D70" s="7" t="str">
        <f>"星期一第1-2节{1-17周}，星期五第1-3节{1-17周}"</f>
        <v>星期一第1-2节{1-17周}，星期五第1-3节{1-17周}</v>
      </c>
      <c r="E70" s="7" t="str">
        <f>"雷雷"</f>
        <v>雷雷</v>
      </c>
      <c r="F70" s="7" t="str">
        <f>"顾炜"</f>
        <v>顾炜</v>
      </c>
      <c r="G70" s="7" t="str">
        <f>"1231202Z6006"</f>
        <v>1231202Z6006</v>
      </c>
    </row>
    <row r="71" ht="24" spans="1:7">
      <c r="A71" s="7">
        <v>69</v>
      </c>
      <c r="B71" s="7" t="str">
        <f t="shared" ref="B71:B107" si="2">"统计与数据科学学院"</f>
        <v>统计与数据科学学院</v>
      </c>
      <c r="C71" s="7" t="str">
        <f>"计量经济学"</f>
        <v>计量经济学</v>
      </c>
      <c r="D71" s="7" t="str">
        <f>"星期三第5-7节{1-17周}"</f>
        <v>星期三第5-7节{1-17周}</v>
      </c>
      <c r="E71" s="7" t="str">
        <f>"喻开志"</f>
        <v>喻开志</v>
      </c>
      <c r="F71" s="7" t="str">
        <f>"王佳"</f>
        <v>王佳</v>
      </c>
      <c r="G71" s="7" t="str">
        <f>"123020209002"</f>
        <v>123020209002</v>
      </c>
    </row>
    <row r="72" ht="24" spans="1:7">
      <c r="A72" s="7">
        <v>70</v>
      </c>
      <c r="B72" s="7" t="str">
        <f t="shared" si="2"/>
        <v>统计与数据科学学院</v>
      </c>
      <c r="C72" s="7" t="str">
        <f>"统计学"</f>
        <v>统计学</v>
      </c>
      <c r="D72" s="7" t="str">
        <f>"星期三第5-7节{1-17周}"</f>
        <v>星期三第5-7节{1-17周}</v>
      </c>
      <c r="E72" s="7" t="str">
        <f>"夏怡凡"</f>
        <v>夏怡凡</v>
      </c>
      <c r="F72" s="7" t="str">
        <f>"吴林艳"</f>
        <v>吴林艳</v>
      </c>
      <c r="G72" s="7" t="str">
        <f>"123020208003"</f>
        <v>123020208003</v>
      </c>
    </row>
    <row r="73" ht="24" spans="1:7">
      <c r="A73" s="7">
        <v>71</v>
      </c>
      <c r="B73" s="7" t="str">
        <f t="shared" si="2"/>
        <v>统计与数据科学学院</v>
      </c>
      <c r="C73" s="7" t="str">
        <f>"统计学"</f>
        <v>统计学</v>
      </c>
      <c r="D73" s="7" t="str">
        <f>"星期三第5-7节{1-17周}"</f>
        <v>星期三第5-7节{1-17周}</v>
      </c>
      <c r="E73" s="7" t="str">
        <f>"夏怡凡"</f>
        <v>夏怡凡</v>
      </c>
      <c r="F73" s="7" t="str">
        <f>"宁人洁"</f>
        <v>宁人洁</v>
      </c>
      <c r="G73" s="7" t="str">
        <f>"124020208001"</f>
        <v>124020208001</v>
      </c>
    </row>
    <row r="74" ht="24" spans="1:7">
      <c r="A74" s="7">
        <v>72</v>
      </c>
      <c r="B74" s="7" t="str">
        <f t="shared" si="2"/>
        <v>统计与数据科学学院</v>
      </c>
      <c r="C74" s="7" t="str">
        <f>"计量经济学"</f>
        <v>计量经济学</v>
      </c>
      <c r="D74" s="7" t="str">
        <f>"星期二第10-12节{1-17周}"</f>
        <v>星期二第10-12节{1-17周}</v>
      </c>
      <c r="E74" s="7" t="str">
        <f>"鲁万波"</f>
        <v>鲁万波</v>
      </c>
      <c r="F74" s="7" t="str">
        <f>"陆凯"</f>
        <v>陆凯</v>
      </c>
      <c r="G74" s="7" t="str">
        <f>"124020209006"</f>
        <v>124020209006</v>
      </c>
    </row>
    <row r="75" ht="24" spans="1:7">
      <c r="A75" s="7">
        <v>73</v>
      </c>
      <c r="B75" s="7" t="str">
        <f t="shared" si="2"/>
        <v>统计与数据科学学院</v>
      </c>
      <c r="C75" s="7" t="str">
        <f>"计量经济学"</f>
        <v>计量经济学</v>
      </c>
      <c r="D75" s="7" t="str">
        <f>"星期二第10-12节{1-17周}"</f>
        <v>星期二第10-12节{1-17周}</v>
      </c>
      <c r="E75" s="7" t="str">
        <f>"张华节"</f>
        <v>张华节</v>
      </c>
      <c r="F75" s="7" t="str">
        <f>"李敏"</f>
        <v>李敏</v>
      </c>
      <c r="G75" s="7" t="str">
        <f>"224020208006"</f>
        <v>224020208006</v>
      </c>
    </row>
    <row r="76" ht="36" spans="1:7">
      <c r="A76" s="7">
        <v>74</v>
      </c>
      <c r="B76" s="7" t="str">
        <f t="shared" si="2"/>
        <v>统计与数据科学学院</v>
      </c>
      <c r="C76" s="7" t="str">
        <f t="shared" ref="C76:C83" si="3">"概率论与数理统计B"</f>
        <v>概率论与数理统计B</v>
      </c>
      <c r="D76" s="7" t="str">
        <f>"星期一第10-11节{1-17周}，星期四第1-2节{1-17周}"</f>
        <v>星期一第10-11节{1-17周}，星期四第1-2节{1-17周}</v>
      </c>
      <c r="E76" s="7" t="str">
        <f>"马昀蓓"</f>
        <v>马昀蓓</v>
      </c>
      <c r="F76" s="7" t="str">
        <f>"王凌锐"</f>
        <v>王凌锐</v>
      </c>
      <c r="G76" s="7" t="str">
        <f>"124071400001"</f>
        <v>124071400001</v>
      </c>
    </row>
    <row r="77" ht="36" spans="1:7">
      <c r="A77" s="7">
        <v>75</v>
      </c>
      <c r="B77" s="7" t="str">
        <f t="shared" si="2"/>
        <v>统计与数据科学学院</v>
      </c>
      <c r="C77" s="7" t="str">
        <f t="shared" si="3"/>
        <v>概率论与数理统计B</v>
      </c>
      <c r="D77" s="7" t="str">
        <f>"星期一第10-11节{1-17周}，星期四第1-2节{1-17周}"</f>
        <v>星期一第10-11节{1-17周}，星期四第1-2节{1-17周}</v>
      </c>
      <c r="E77" s="7" t="str">
        <f>"马昀蓓"</f>
        <v>马昀蓓</v>
      </c>
      <c r="F77" s="7" t="str">
        <f>"陈露"</f>
        <v>陈露</v>
      </c>
      <c r="G77" s="7" t="str">
        <f>"123071400001"</f>
        <v>123071400001</v>
      </c>
    </row>
    <row r="78" ht="36" spans="1:7">
      <c r="A78" s="7">
        <v>76</v>
      </c>
      <c r="B78" s="7" t="str">
        <f t="shared" si="2"/>
        <v>统计与数据科学学院</v>
      </c>
      <c r="C78" s="7" t="str">
        <f t="shared" si="3"/>
        <v>概率论与数理统计B</v>
      </c>
      <c r="D78" s="7" t="str">
        <f>"星期二第1-2节{1-17周}，星期四第3-4节{1-17周}"</f>
        <v>星期二第1-2节{1-17周}，星期四第3-4节{1-17周}</v>
      </c>
      <c r="E78" s="7" t="str">
        <f>"马昀蓓"</f>
        <v>马昀蓓</v>
      </c>
      <c r="F78" s="7" t="str">
        <f>"叶乐强"</f>
        <v>叶乐强</v>
      </c>
      <c r="G78" s="7" t="str">
        <f>"223071400013"</f>
        <v>223071400013</v>
      </c>
    </row>
    <row r="79" ht="36" spans="1:7">
      <c r="A79" s="7">
        <v>77</v>
      </c>
      <c r="B79" s="7" t="str">
        <f t="shared" si="2"/>
        <v>统计与数据科学学院</v>
      </c>
      <c r="C79" s="7" t="str">
        <f t="shared" si="3"/>
        <v>概率论与数理统计B</v>
      </c>
      <c r="D79" s="7" t="str">
        <f>"星期二第1-2节{1-17周}，星期四第3-4节{1-17周}"</f>
        <v>星期二第1-2节{1-17周}，星期四第3-4节{1-17周}</v>
      </c>
      <c r="E79" s="7" t="str">
        <f>"马昀蓓"</f>
        <v>马昀蓓</v>
      </c>
      <c r="F79" s="7" t="str">
        <f>"肖亚萍"</f>
        <v>肖亚萍</v>
      </c>
      <c r="G79" s="7" t="str">
        <f>"124020208005"</f>
        <v>124020208005</v>
      </c>
    </row>
    <row r="80" ht="36" spans="1:7">
      <c r="A80" s="7">
        <v>78</v>
      </c>
      <c r="B80" s="7" t="str">
        <f t="shared" si="2"/>
        <v>统计与数据科学学院</v>
      </c>
      <c r="C80" s="7" t="str">
        <f t="shared" si="3"/>
        <v>概率论与数理统计B</v>
      </c>
      <c r="D80" s="7" t="str">
        <f>"星期一第8-9节{1-17周}，星期五第8-9节{1-17周}"</f>
        <v>星期一第8-9节{1-17周}，星期五第8-9节{1-17周}</v>
      </c>
      <c r="E80" s="7" t="str">
        <f>"马铁丰"</f>
        <v>马铁丰</v>
      </c>
      <c r="F80" s="7" t="str">
        <f>"任建梅"</f>
        <v>任建梅</v>
      </c>
      <c r="G80" s="7" t="str">
        <f>"122020208005"</f>
        <v>122020208005</v>
      </c>
    </row>
    <row r="81" ht="36" spans="1:7">
      <c r="A81" s="7">
        <v>79</v>
      </c>
      <c r="B81" s="7" t="str">
        <f t="shared" si="2"/>
        <v>统计与数据科学学院</v>
      </c>
      <c r="C81" s="7" t="str">
        <f t="shared" si="3"/>
        <v>概率论与数理统计B</v>
      </c>
      <c r="D81" s="7" t="str">
        <f>"星期一第8-9节{1-17周}，星期五第8-9节{1-17周}"</f>
        <v>星期一第8-9节{1-17周}，星期五第8-9节{1-17周}</v>
      </c>
      <c r="E81" s="7" t="str">
        <f>"马铁丰"</f>
        <v>马铁丰</v>
      </c>
      <c r="F81" s="7" t="str">
        <f>"谢聪"</f>
        <v>谢聪</v>
      </c>
      <c r="G81" s="7" t="str">
        <f>"2240202J8009"</f>
        <v>2240202J8009</v>
      </c>
    </row>
    <row r="82" ht="48" spans="1:7">
      <c r="A82" s="7">
        <v>80</v>
      </c>
      <c r="B82" s="7" t="str">
        <f t="shared" si="2"/>
        <v>统计与数据科学学院</v>
      </c>
      <c r="C82" s="7" t="str">
        <f t="shared" si="3"/>
        <v>概率论与数理统计B</v>
      </c>
      <c r="D82" s="7" t="str">
        <f>"星期一第10-11节{1-17周}，星期四第10-11节{1-17周}"</f>
        <v>星期一第10-11节{1-17周}，星期四第10-11节{1-17周}</v>
      </c>
      <c r="E82" s="7" t="str">
        <f>"马铁丰"</f>
        <v>马铁丰</v>
      </c>
      <c r="F82" s="7" t="str">
        <f>"陈燃"</f>
        <v>陈燃</v>
      </c>
      <c r="G82" s="7" t="str">
        <f>"124020208004"</f>
        <v>124020208004</v>
      </c>
    </row>
    <row r="83" ht="48" spans="1:7">
      <c r="A83" s="7">
        <v>81</v>
      </c>
      <c r="B83" s="7" t="str">
        <f t="shared" si="2"/>
        <v>统计与数据科学学院</v>
      </c>
      <c r="C83" s="7" t="str">
        <f t="shared" si="3"/>
        <v>概率论与数理统计B</v>
      </c>
      <c r="D83" s="7" t="str">
        <f>"星期一第10-11节{1-17周}，星期四第10-11节{1-17周}"</f>
        <v>星期一第10-11节{1-17周}，星期四第10-11节{1-17周}</v>
      </c>
      <c r="E83" s="7" t="str">
        <f>"马铁丰"</f>
        <v>马铁丰</v>
      </c>
      <c r="F83" s="7" t="str">
        <f>"熊智临"</f>
        <v>熊智临</v>
      </c>
      <c r="G83" s="7" t="str">
        <f>"121020208005"</f>
        <v>121020208005</v>
      </c>
    </row>
    <row r="84" ht="24" spans="1:7">
      <c r="A84" s="7">
        <v>82</v>
      </c>
      <c r="B84" s="7" t="str">
        <f t="shared" si="2"/>
        <v>统计与数据科学学院</v>
      </c>
      <c r="C84" s="7" t="str">
        <f>"统计学"</f>
        <v>统计学</v>
      </c>
      <c r="D84" s="7" t="str">
        <f>"星期五第5-7节{1-17周}"</f>
        <v>星期五第5-7节{1-17周}</v>
      </c>
      <c r="E84" s="7" t="str">
        <f>"陈丹丹"</f>
        <v>陈丹丹</v>
      </c>
      <c r="F84" s="7" t="str">
        <f>"张其瑞"</f>
        <v>张其瑞</v>
      </c>
      <c r="G84" s="7" t="str">
        <f>"1240202J8003"</f>
        <v>1240202J8003</v>
      </c>
    </row>
    <row r="85" ht="24" spans="1:7">
      <c r="A85" s="7">
        <v>83</v>
      </c>
      <c r="B85" s="7" t="str">
        <f t="shared" si="2"/>
        <v>统计与数据科学学院</v>
      </c>
      <c r="C85" s="7" t="str">
        <f>"统计学"</f>
        <v>统计学</v>
      </c>
      <c r="D85" s="7" t="str">
        <f>"星期五第5-7节{1-17周}"</f>
        <v>星期五第5-7节{1-17周}</v>
      </c>
      <c r="E85" s="7" t="str">
        <f>"陈丹丹"</f>
        <v>陈丹丹</v>
      </c>
      <c r="F85" s="7" t="str">
        <f>"张宇岩"</f>
        <v>张宇岩</v>
      </c>
      <c r="G85" s="7" t="str">
        <f>"224020208010"</f>
        <v>224020208010</v>
      </c>
    </row>
    <row r="86" ht="36" spans="1:7">
      <c r="A86" s="7">
        <v>84</v>
      </c>
      <c r="B86" s="7" t="str">
        <f t="shared" si="2"/>
        <v>统计与数据科学学院</v>
      </c>
      <c r="C86" s="7" t="str">
        <f>"概率论原理"</f>
        <v>概率论原理</v>
      </c>
      <c r="D86" s="7" t="str">
        <f>"星期二第3-4节{1-17周}，星期三第3-4节{1-17周}"</f>
        <v>星期二第3-4节{1-17周}，星期三第3-4节{1-17周}</v>
      </c>
      <c r="E86" s="7" t="str">
        <f>"何婧"</f>
        <v>何婧</v>
      </c>
      <c r="F86" s="7" t="str">
        <f>"洪绍鹏"</f>
        <v>洪绍鹏</v>
      </c>
      <c r="G86" s="7" t="str">
        <f>"124071400005"</f>
        <v>124071400005</v>
      </c>
    </row>
    <row r="87" ht="24" spans="1:7">
      <c r="A87" s="7">
        <v>85</v>
      </c>
      <c r="B87" s="7" t="str">
        <f t="shared" si="2"/>
        <v>统计与数据科学学院</v>
      </c>
      <c r="C87" s="7" t="str">
        <f>"计量经济学"</f>
        <v>计量经济学</v>
      </c>
      <c r="D87" s="7" t="str">
        <f>"星期三第5-7节{1-17周}"</f>
        <v>星期三第5-7节{1-17周}</v>
      </c>
      <c r="E87" s="7" t="str">
        <f>"耿华彦"</f>
        <v>耿华彦</v>
      </c>
      <c r="F87" s="7" t="str">
        <f>"曾程"</f>
        <v>曾程</v>
      </c>
      <c r="G87" s="7" t="str">
        <f>"1231201Z5008"</f>
        <v>1231201Z5008</v>
      </c>
    </row>
    <row r="88" ht="24" spans="1:7">
      <c r="A88" s="7">
        <v>86</v>
      </c>
      <c r="B88" s="7" t="str">
        <f t="shared" si="2"/>
        <v>统计与数据科学学院</v>
      </c>
      <c r="C88" s="7" t="str">
        <f>"计量经济学"</f>
        <v>计量经济学</v>
      </c>
      <c r="D88" s="7" t="str">
        <f>"星期三第10-12节{1-17周}"</f>
        <v>星期三第10-12节{1-17周}</v>
      </c>
      <c r="E88" s="7" t="str">
        <f>"耿华彦"</f>
        <v>耿华彦</v>
      </c>
      <c r="F88" s="7" t="str">
        <f>"曾宇"</f>
        <v>曾宇</v>
      </c>
      <c r="G88" s="7" t="str">
        <f>"122020203007"</f>
        <v>122020203007</v>
      </c>
    </row>
    <row r="89" ht="24" spans="1:7">
      <c r="A89" s="7">
        <v>87</v>
      </c>
      <c r="B89" s="7" t="str">
        <f t="shared" si="2"/>
        <v>统计与数据科学学院</v>
      </c>
      <c r="C89" s="7" t="str">
        <f>"计量经济学"</f>
        <v>计量经济学</v>
      </c>
      <c r="D89" s="7" t="str">
        <f>"星期四第10-12节{1-17周}"</f>
        <v>星期四第10-12节{1-17周}</v>
      </c>
      <c r="E89" s="7" t="str">
        <f>"于博"</f>
        <v>于博</v>
      </c>
      <c r="F89" s="7" t="str">
        <f>"李钰琪"</f>
        <v>李钰琪</v>
      </c>
      <c r="G89" s="7" t="str">
        <f>"122020204009"</f>
        <v>122020204009</v>
      </c>
    </row>
    <row r="90" ht="36" spans="1:7">
      <c r="A90" s="7">
        <v>88</v>
      </c>
      <c r="B90" s="7" t="str">
        <f t="shared" si="2"/>
        <v>统计与数据科学学院</v>
      </c>
      <c r="C90" s="7" t="str">
        <f>"概率论与数理统计B"</f>
        <v>概率论与数理统计B</v>
      </c>
      <c r="D90" s="7" t="str">
        <f>"星期三第3-4节{1-17周}，星期四第1-2节{1-17周}"</f>
        <v>星期三第3-4节{1-17周}，星期四第1-2节{1-17周}</v>
      </c>
      <c r="E90" s="7" t="str">
        <f>"戴明伟"</f>
        <v>戴明伟</v>
      </c>
      <c r="F90" s="7" t="str">
        <f>"胡睿希"</f>
        <v>胡睿希</v>
      </c>
      <c r="G90" s="7" t="str">
        <f>"224071400032"</f>
        <v>224071400032</v>
      </c>
    </row>
    <row r="91" ht="36" spans="1:7">
      <c r="A91" s="7">
        <v>89</v>
      </c>
      <c r="B91" s="7" t="str">
        <f t="shared" si="2"/>
        <v>统计与数据科学学院</v>
      </c>
      <c r="C91" s="7" t="str">
        <f>"概率论与数理统计B"</f>
        <v>概率论与数理统计B</v>
      </c>
      <c r="D91" s="7" t="str">
        <f>"星期三第3-4节{1-17周}，星期四第1-2节{1-17周}"</f>
        <v>星期三第3-4节{1-17周}，星期四第1-2节{1-17周}</v>
      </c>
      <c r="E91" s="7" t="str">
        <f>"戴明伟"</f>
        <v>戴明伟</v>
      </c>
      <c r="F91" s="7" t="str">
        <f>"马一丹"</f>
        <v>马一丹</v>
      </c>
      <c r="G91" s="7" t="str">
        <f>"224071400031"</f>
        <v>224071400031</v>
      </c>
    </row>
    <row r="92" ht="24" spans="1:7">
      <c r="A92" s="7">
        <v>90</v>
      </c>
      <c r="B92" s="7" t="str">
        <f t="shared" si="2"/>
        <v>统计与数据科学学院</v>
      </c>
      <c r="C92" s="7" t="str">
        <f>"计量经济学"</f>
        <v>计量经济学</v>
      </c>
      <c r="D92" s="7" t="str">
        <f>"星期四第5-7节{1-17周}"</f>
        <v>星期四第5-7节{1-17周}</v>
      </c>
      <c r="E92" s="7" t="str">
        <f>"谢昕伶"</f>
        <v>谢昕伶</v>
      </c>
      <c r="F92" s="7" t="str">
        <f>"郭梦霞"</f>
        <v>郭梦霞</v>
      </c>
      <c r="G92" s="7" t="str">
        <f>"124020209005"</f>
        <v>124020209005</v>
      </c>
    </row>
    <row r="93" ht="36" spans="1:7">
      <c r="A93" s="7">
        <v>91</v>
      </c>
      <c r="B93" s="7" t="str">
        <f t="shared" si="2"/>
        <v>统计与数据科学学院</v>
      </c>
      <c r="C93" s="7" t="str">
        <f t="shared" ref="C93:C98" si="4">"概率论与数理统计B"</f>
        <v>概率论与数理统计B</v>
      </c>
      <c r="D93" s="7" t="str">
        <f>"星期三第3-4节{1-17周}，星期四第8-9节{1-17周}"</f>
        <v>星期三第3-4节{1-17周}，星期四第8-9节{1-17周}</v>
      </c>
      <c r="E93" s="7" t="str">
        <f>"王籼入"</f>
        <v>王籼入</v>
      </c>
      <c r="F93" s="7" t="str">
        <f>"程喆"</f>
        <v>程喆</v>
      </c>
      <c r="G93" s="7" t="str">
        <f>"223071400008"</f>
        <v>223071400008</v>
      </c>
    </row>
    <row r="94" ht="36" spans="1:7">
      <c r="A94" s="7">
        <v>92</v>
      </c>
      <c r="B94" s="7" t="str">
        <f t="shared" si="2"/>
        <v>统计与数据科学学院</v>
      </c>
      <c r="C94" s="7" t="str">
        <f t="shared" si="4"/>
        <v>概率论与数理统计B</v>
      </c>
      <c r="D94" s="7" t="str">
        <f>"星期三第8-9节{1-17周}，星期四第10-11节{1-17周}"</f>
        <v>星期三第8-9节{1-17周}，星期四第10-11节{1-17周}</v>
      </c>
      <c r="E94" s="7" t="str">
        <f>"王籼入"</f>
        <v>王籼入</v>
      </c>
      <c r="F94" s="7" t="str">
        <f>"张雅婧"</f>
        <v>张雅婧</v>
      </c>
      <c r="G94" s="7" t="str">
        <f>"1240202J8001"</f>
        <v>1240202J8001</v>
      </c>
    </row>
    <row r="95" ht="36" spans="1:7">
      <c r="A95" s="7">
        <v>93</v>
      </c>
      <c r="B95" s="7" t="str">
        <f t="shared" si="2"/>
        <v>统计与数据科学学院</v>
      </c>
      <c r="C95" s="7" t="str">
        <f t="shared" si="4"/>
        <v>概率论与数理统计B</v>
      </c>
      <c r="D95" s="7" t="str">
        <f>"星期三第3-4节{1-17周}，星期五第5-6节{1-17周}"</f>
        <v>星期三第3-4节{1-17周}，星期五第5-6节{1-17周}</v>
      </c>
      <c r="E95" s="7" t="str">
        <f>"杨勇剑"</f>
        <v>杨勇剑</v>
      </c>
      <c r="F95" s="7" t="str">
        <f>"陈文钰"</f>
        <v>陈文钰</v>
      </c>
      <c r="G95" s="7" t="str">
        <f>"224071400007"</f>
        <v>224071400007</v>
      </c>
    </row>
    <row r="96" ht="36" spans="1:7">
      <c r="A96" s="7">
        <v>94</v>
      </c>
      <c r="B96" s="7" t="str">
        <f t="shared" si="2"/>
        <v>统计与数据科学学院</v>
      </c>
      <c r="C96" s="7" t="str">
        <f t="shared" si="4"/>
        <v>概率论与数理统计B</v>
      </c>
      <c r="D96" s="7" t="str">
        <f>"星期三第3-4节{1-17周}，星期五第5-6节{1-17周}"</f>
        <v>星期三第3-4节{1-17周}，星期五第5-6节{1-17周}</v>
      </c>
      <c r="E96" s="7" t="str">
        <f>"杨勇剑"</f>
        <v>杨勇剑</v>
      </c>
      <c r="F96" s="7" t="str">
        <f>"崔佳舒"</f>
        <v>崔佳舒</v>
      </c>
      <c r="G96" s="7" t="str">
        <f>"224071400025"</f>
        <v>224071400025</v>
      </c>
    </row>
    <row r="97" ht="36" spans="1:7">
      <c r="A97" s="7">
        <v>95</v>
      </c>
      <c r="B97" s="7" t="str">
        <f t="shared" si="2"/>
        <v>统计与数据科学学院</v>
      </c>
      <c r="C97" s="7" t="str">
        <f t="shared" si="4"/>
        <v>概率论与数理统计B</v>
      </c>
      <c r="D97" s="7" t="str">
        <f>"星期一第8-9节{1-17周}，星期三第8-9节{1-17周}"</f>
        <v>星期一第8-9节{1-17周}，星期三第8-9节{1-17周}</v>
      </c>
      <c r="E97" s="7" t="str">
        <f>"高春燕"</f>
        <v>高春燕</v>
      </c>
      <c r="F97" s="7" t="str">
        <f>"史锦怡"</f>
        <v>史锦怡</v>
      </c>
      <c r="G97" s="7" t="str">
        <f>"124120100001"</f>
        <v>124120100001</v>
      </c>
    </row>
    <row r="98" ht="36" spans="1:7">
      <c r="A98" s="7">
        <v>96</v>
      </c>
      <c r="B98" s="7" t="str">
        <f t="shared" si="2"/>
        <v>统计与数据科学学院</v>
      </c>
      <c r="C98" s="7" t="str">
        <f t="shared" si="4"/>
        <v>概率论与数理统计B</v>
      </c>
      <c r="D98" s="7" t="str">
        <f>"星期一第8-9节{1-17周}，星期三第8-9节{1-17周}"</f>
        <v>星期一第8-9节{1-17周}，星期三第8-9节{1-17周}</v>
      </c>
      <c r="E98" s="7" t="str">
        <f>"高春燕"</f>
        <v>高春燕</v>
      </c>
      <c r="F98" s="7" t="str">
        <f>"张一帆"</f>
        <v>张一帆</v>
      </c>
      <c r="G98" s="7" t="str">
        <f>"223020209008"</f>
        <v>223020209008</v>
      </c>
    </row>
    <row r="99" ht="24" spans="1:7">
      <c r="A99" s="7">
        <v>97</v>
      </c>
      <c r="B99" s="7" t="str">
        <f t="shared" si="2"/>
        <v>统计与数据科学学院</v>
      </c>
      <c r="C99" s="7" t="str">
        <f>"计量经济学"</f>
        <v>计量经济学</v>
      </c>
      <c r="D99" s="7" t="str">
        <f>"星期四第10-12节{1-17周}"</f>
        <v>星期四第10-12节{1-17周}</v>
      </c>
      <c r="E99" s="7" t="str">
        <f>"孙秀丽"</f>
        <v>孙秀丽</v>
      </c>
      <c r="F99" s="7" t="str">
        <f>"李榆淇"</f>
        <v>李榆淇</v>
      </c>
      <c r="G99" s="7" t="str">
        <f>"2240202J8001"</f>
        <v>2240202J8001</v>
      </c>
    </row>
    <row r="100" ht="24" spans="1:7">
      <c r="A100" s="7">
        <v>98</v>
      </c>
      <c r="B100" s="7" t="str">
        <f t="shared" si="2"/>
        <v>统计与数据科学学院</v>
      </c>
      <c r="C100" s="7" t="str">
        <f>"计量经济学"</f>
        <v>计量经济学</v>
      </c>
      <c r="D100" s="7" t="str">
        <f>"星期三第10-12节{1-17周}"</f>
        <v>星期三第10-12节{1-17周}</v>
      </c>
      <c r="E100" s="7" t="str">
        <f>"张尧钧"</f>
        <v>张尧钧</v>
      </c>
      <c r="F100" s="7" t="str">
        <f>"马靖凯"</f>
        <v>马靖凯</v>
      </c>
      <c r="G100" s="7" t="str">
        <f>"2230202J8007"</f>
        <v>2230202J8007</v>
      </c>
    </row>
    <row r="101" ht="24" spans="1:7">
      <c r="A101" s="7">
        <v>99</v>
      </c>
      <c r="B101" s="7" t="str">
        <f t="shared" si="2"/>
        <v>统计与数据科学学院</v>
      </c>
      <c r="C101" s="7" t="str">
        <f>"计量经济学"</f>
        <v>计量经济学</v>
      </c>
      <c r="D101" s="7" t="str">
        <f>"星期五第5-7节{1-17周}"</f>
        <v>星期五第5-7节{1-17周}</v>
      </c>
      <c r="E101" s="7" t="str">
        <f>"张尧钧"</f>
        <v>张尧钧</v>
      </c>
      <c r="F101" s="7" t="str">
        <f>"孙珂祎"</f>
        <v>孙珂祎</v>
      </c>
      <c r="G101" s="7" t="str">
        <f>"1240202J8006"</f>
        <v>1240202J8006</v>
      </c>
    </row>
    <row r="102" ht="36" spans="1:7">
      <c r="A102" s="7">
        <v>100</v>
      </c>
      <c r="B102" s="7" t="str">
        <f t="shared" si="2"/>
        <v>统计与数据科学学院</v>
      </c>
      <c r="C102" s="7" t="str">
        <f>"概率论与数理统计B"</f>
        <v>概率论与数理统计B</v>
      </c>
      <c r="D102" s="7" t="str">
        <f>"星期一第5-6节{1-17周}，星期四第5-6节{1-17周}"</f>
        <v>星期一第5-6节{1-17周}，星期四第5-6节{1-17周}</v>
      </c>
      <c r="E102" s="7" t="str">
        <f>"郭斌"</f>
        <v>郭斌</v>
      </c>
      <c r="F102" s="7" t="str">
        <f>"李梦瑶"</f>
        <v>李梦瑶</v>
      </c>
      <c r="G102" s="7" t="str">
        <f>"224071400026"</f>
        <v>224071400026</v>
      </c>
    </row>
    <row r="103" ht="36" spans="1:7">
      <c r="A103" s="7">
        <v>101</v>
      </c>
      <c r="B103" s="7" t="str">
        <f t="shared" si="2"/>
        <v>统计与数据科学学院</v>
      </c>
      <c r="C103" s="7" t="str">
        <f>"概率论与数理统计B"</f>
        <v>概率论与数理统计B</v>
      </c>
      <c r="D103" s="7" t="str">
        <f>"星期一第5-6节{1-17周}，星期四第5-6节{1-17周}"</f>
        <v>星期一第5-6节{1-17周}，星期四第5-6节{1-17周}</v>
      </c>
      <c r="E103" s="7" t="str">
        <f>"郭斌"</f>
        <v>郭斌</v>
      </c>
      <c r="F103" s="7" t="str">
        <f>"谢有为"</f>
        <v>谢有为</v>
      </c>
      <c r="G103" s="7" t="str">
        <f>"224071400012"</f>
        <v>224071400012</v>
      </c>
    </row>
    <row r="104" ht="24" spans="1:7">
      <c r="A104" s="7">
        <v>102</v>
      </c>
      <c r="B104" s="7" t="str">
        <f t="shared" si="2"/>
        <v>统计与数据科学学院</v>
      </c>
      <c r="C104" s="7" t="str">
        <f>"计量经济学"</f>
        <v>计量经济学</v>
      </c>
      <c r="D104" s="7" t="str">
        <f>"星期二第10-12节{1-17周}"</f>
        <v>星期二第10-12节{1-17周}</v>
      </c>
      <c r="E104" s="7" t="str">
        <f>"范国斌"</f>
        <v>范国斌</v>
      </c>
      <c r="F104" s="7" t="str">
        <f>"王京京"</f>
        <v>王京京</v>
      </c>
      <c r="G104" s="7" t="str">
        <f>"224020209003"</f>
        <v>224020209003</v>
      </c>
    </row>
    <row r="105" ht="24" spans="1:7">
      <c r="A105" s="7">
        <v>103</v>
      </c>
      <c r="B105" s="7" t="str">
        <f t="shared" si="2"/>
        <v>统计与数据科学学院</v>
      </c>
      <c r="C105" s="7" t="str">
        <f>"计量经济学"</f>
        <v>计量经济学</v>
      </c>
      <c r="D105" s="7" t="str">
        <f>"星期二第10-12节{1-17周}"</f>
        <v>星期二第10-12节{1-17周}</v>
      </c>
      <c r="E105" s="7" t="str">
        <f>"张尧钧"</f>
        <v>张尧钧</v>
      </c>
      <c r="F105" s="7" t="str">
        <f>"杨丽"</f>
        <v>杨丽</v>
      </c>
      <c r="G105" s="7" t="str">
        <f>"1240202J8007"</f>
        <v>1240202J8007</v>
      </c>
    </row>
    <row r="106" ht="24" spans="1:7">
      <c r="A106" s="7">
        <v>104</v>
      </c>
      <c r="B106" s="7" t="str">
        <f t="shared" si="2"/>
        <v>统计与数据科学学院</v>
      </c>
      <c r="C106" s="7" t="str">
        <f>"计量经济学"</f>
        <v>计量经济学</v>
      </c>
      <c r="D106" s="7" t="str">
        <f>"星期三第1-3节{1-17周}"</f>
        <v>星期三第1-3节{1-17周}</v>
      </c>
      <c r="E106" s="7" t="str">
        <f>"陈娟"</f>
        <v>陈娟</v>
      </c>
      <c r="F106" s="7" t="str">
        <f>"谢舒"</f>
        <v>谢舒</v>
      </c>
      <c r="G106" s="7" t="str">
        <f>"224020209017"</f>
        <v>224020209017</v>
      </c>
    </row>
    <row r="107" ht="24" spans="1:7">
      <c r="A107" s="7">
        <v>105</v>
      </c>
      <c r="B107" s="7" t="str">
        <f t="shared" si="2"/>
        <v>统计与数据科学学院</v>
      </c>
      <c r="C107" s="7" t="str">
        <f>"计量经济学"</f>
        <v>计量经济学</v>
      </c>
      <c r="D107" s="7" t="str">
        <f>"星期三第10-12节{1-17周}"</f>
        <v>星期三第10-12节{1-17周}</v>
      </c>
      <c r="E107" s="7" t="str">
        <f>"杨岚"</f>
        <v>杨岚</v>
      </c>
      <c r="F107" s="7" t="str">
        <f>"董鑫"</f>
        <v>董鑫</v>
      </c>
      <c r="G107" s="7" t="str">
        <f>"123020209004"</f>
        <v>123020209004</v>
      </c>
    </row>
    <row r="108" ht="24" spans="1:7">
      <c r="A108" s="7">
        <v>106</v>
      </c>
      <c r="B108" s="7" t="str">
        <f t="shared" ref="B108:B119" si="5">"工商管理学院"</f>
        <v>工商管理学院</v>
      </c>
      <c r="C108" s="7" t="str">
        <f>"管理学原理（英）"</f>
        <v>管理学原理（英）</v>
      </c>
      <c r="D108" s="7" t="str">
        <f>"星期三第5-7节{1-17周}"</f>
        <v>星期三第5-7节{1-17周}</v>
      </c>
      <c r="E108" s="7" t="str">
        <f>"唐明凤"</f>
        <v>唐明凤</v>
      </c>
      <c r="F108" s="7" t="str">
        <f>"杨杭生"</f>
        <v>杨杭生</v>
      </c>
      <c r="G108" s="7" t="str">
        <f>"122120204002"</f>
        <v>122120204002</v>
      </c>
    </row>
    <row r="109" ht="24" spans="1:7">
      <c r="A109" s="7">
        <v>107</v>
      </c>
      <c r="B109" s="7" t="str">
        <f t="shared" si="5"/>
        <v>工商管理学院</v>
      </c>
      <c r="C109" s="7" t="str">
        <f>"大数据与统计学"</f>
        <v>大数据与统计学</v>
      </c>
      <c r="D109" s="7" t="str">
        <f>"星期一第10-12节{1-17周}"</f>
        <v>星期一第10-12节{1-17周}</v>
      </c>
      <c r="E109" s="7" t="str">
        <f>"赵奕奕"</f>
        <v>赵奕奕</v>
      </c>
      <c r="F109" s="7" t="str">
        <f>"杨泽宇"</f>
        <v>杨泽宇</v>
      </c>
      <c r="G109" s="7" t="str">
        <f>"2231201Z5025"</f>
        <v>2231201Z5025</v>
      </c>
    </row>
    <row r="110" ht="24" spans="1:7">
      <c r="A110" s="7">
        <v>108</v>
      </c>
      <c r="B110" s="7" t="str">
        <f t="shared" si="5"/>
        <v>工商管理学院</v>
      </c>
      <c r="C110" s="7" t="str">
        <f>"大数据与统计学"</f>
        <v>大数据与统计学</v>
      </c>
      <c r="D110" s="7" t="str">
        <f>"星期一第5-7节{1-17周}"</f>
        <v>星期一第5-7节{1-17周}</v>
      </c>
      <c r="E110" s="7" t="str">
        <f>"赵奕奕"</f>
        <v>赵奕奕</v>
      </c>
      <c r="F110" s="7" t="str">
        <f>"陈浪"</f>
        <v>陈浪</v>
      </c>
      <c r="G110" s="7" t="str">
        <f>"1241202Z9005"</f>
        <v>1241202Z9005</v>
      </c>
    </row>
    <row r="111" ht="24" spans="1:7">
      <c r="A111" s="7">
        <v>109</v>
      </c>
      <c r="B111" s="7" t="str">
        <f t="shared" si="5"/>
        <v>工商管理学院</v>
      </c>
      <c r="C111" s="7" t="str">
        <f>"管理学原理（英）"</f>
        <v>管理学原理（英）</v>
      </c>
      <c r="D111" s="7" t="str">
        <f>"星期四第5-7节{1-17周}"</f>
        <v>星期四第5-7节{1-17周}</v>
      </c>
      <c r="E111" s="7" t="str">
        <f>"陈桓亘"</f>
        <v>陈桓亘</v>
      </c>
      <c r="F111" s="7" t="str">
        <f>"季晓丹"</f>
        <v>季晓丹</v>
      </c>
      <c r="G111" s="7" t="str">
        <f>"223120202026"</f>
        <v>223120202026</v>
      </c>
    </row>
    <row r="112" ht="24" spans="1:7">
      <c r="A112" s="7">
        <v>110</v>
      </c>
      <c r="B112" s="7" t="str">
        <f t="shared" si="5"/>
        <v>工商管理学院</v>
      </c>
      <c r="C112" s="7" t="str">
        <f>"管理学原理（英）"</f>
        <v>管理学原理（英）</v>
      </c>
      <c r="D112" s="7" t="str">
        <f>"星期三第1-3节{1-17周}"</f>
        <v>星期三第1-3节{1-17周}</v>
      </c>
      <c r="E112" s="7" t="str">
        <f>"陈桓亘"</f>
        <v>陈桓亘</v>
      </c>
      <c r="F112" s="7" t="str">
        <f>"朱江南"</f>
        <v>朱江南</v>
      </c>
      <c r="G112" s="7" t="str">
        <f>"224120202028"</f>
        <v>224120202028</v>
      </c>
    </row>
    <row r="113" ht="24" spans="1:7">
      <c r="A113" s="7">
        <v>111</v>
      </c>
      <c r="B113" s="7" t="str">
        <f t="shared" si="5"/>
        <v>工商管理学院</v>
      </c>
      <c r="C113" s="7" t="str">
        <f>"大数据与统计学"</f>
        <v>大数据与统计学</v>
      </c>
      <c r="D113" s="7" t="str">
        <f>"星期四第10-12节{1-17周}"</f>
        <v>星期四第10-12节{1-17周}</v>
      </c>
      <c r="E113" s="7" t="str">
        <f>"邱甲贤"</f>
        <v>邱甲贤</v>
      </c>
      <c r="F113" s="7" t="str">
        <f>"荆豪哲"</f>
        <v>荆豪哲</v>
      </c>
      <c r="G113" s="7" t="str">
        <f>"2241201Z5005"</f>
        <v>2241201Z5005</v>
      </c>
    </row>
    <row r="114" ht="24" spans="1:7">
      <c r="A114" s="7">
        <v>112</v>
      </c>
      <c r="B114" s="7" t="str">
        <f t="shared" si="5"/>
        <v>工商管理学院</v>
      </c>
      <c r="C114" s="7" t="str">
        <f>"大数据与统计学"</f>
        <v>大数据与统计学</v>
      </c>
      <c r="D114" s="7" t="str">
        <f>"星期四第5-7节{1-17周}"</f>
        <v>星期四第5-7节{1-17周}</v>
      </c>
      <c r="E114" s="7" t="str">
        <f>"邱甲贤"</f>
        <v>邱甲贤</v>
      </c>
      <c r="F114" s="7" t="str">
        <f>"陈奥成"</f>
        <v>陈奥成</v>
      </c>
      <c r="G114" s="7" t="str">
        <f>"2241201Z5019"</f>
        <v>2241201Z5019</v>
      </c>
    </row>
    <row r="115" ht="24" spans="1:7">
      <c r="A115" s="7">
        <v>113</v>
      </c>
      <c r="B115" s="7" t="str">
        <f t="shared" si="5"/>
        <v>工商管理学院</v>
      </c>
      <c r="C115" s="7" t="str">
        <f>"大数据与统计学"</f>
        <v>大数据与统计学</v>
      </c>
      <c r="D115" s="7" t="str">
        <f>"星期一第5-7节{1-17周}"</f>
        <v>星期一第5-7节{1-17周}</v>
      </c>
      <c r="E115" s="7" t="str">
        <f>"徐敏"</f>
        <v>徐敏</v>
      </c>
      <c r="F115" s="7" t="str">
        <f>"韩喜童"</f>
        <v>韩喜童</v>
      </c>
      <c r="G115" s="7" t="str">
        <f>"2241201Z5030"</f>
        <v>2241201Z5030</v>
      </c>
    </row>
    <row r="116" ht="24" spans="1:7">
      <c r="A116" s="7">
        <v>114</v>
      </c>
      <c r="B116" s="7" t="str">
        <f t="shared" si="5"/>
        <v>工商管理学院</v>
      </c>
      <c r="C116" s="7" t="str">
        <f>"管理学原理"</f>
        <v>管理学原理</v>
      </c>
      <c r="D116" s="7" t="str">
        <f>"星期五第1-3节{1-17周}"</f>
        <v>星期五第1-3节{1-17周}</v>
      </c>
      <c r="E116" s="7" t="str">
        <f>"何江"</f>
        <v>何江</v>
      </c>
      <c r="F116" s="7" t="str">
        <f>"刘丹敏"</f>
        <v>刘丹敏</v>
      </c>
      <c r="G116" s="7" t="str">
        <f>"2231201Z5034"</f>
        <v>2231201Z5034</v>
      </c>
    </row>
    <row r="117" ht="24" spans="1:7">
      <c r="A117" s="7">
        <v>115</v>
      </c>
      <c r="B117" s="7" t="str">
        <f t="shared" si="5"/>
        <v>工商管理学院</v>
      </c>
      <c r="C117" s="7" t="str">
        <f>"管理学原理"</f>
        <v>管理学原理</v>
      </c>
      <c r="D117" s="7" t="str">
        <f>"星期五第5-7节{1-17周}"</f>
        <v>星期五第5-7节{1-17周}</v>
      </c>
      <c r="E117" s="7" t="str">
        <f>"何江"</f>
        <v>何江</v>
      </c>
      <c r="F117" s="7" t="str">
        <f>"邓欣宇"</f>
        <v>邓欣宇</v>
      </c>
      <c r="G117" s="7" t="str">
        <f>"224120202038"</f>
        <v>224120202038</v>
      </c>
    </row>
    <row r="118" ht="24" spans="1:7">
      <c r="A118" s="7">
        <v>116</v>
      </c>
      <c r="B118" s="7" t="str">
        <f t="shared" si="5"/>
        <v>工商管理学院</v>
      </c>
      <c r="C118" s="7" t="str">
        <f>"大数据与统计学"</f>
        <v>大数据与统计学</v>
      </c>
      <c r="D118" s="7" t="str">
        <f>"星期二第10-12节{1-17周}"</f>
        <v>星期二第10-12节{1-17周}</v>
      </c>
      <c r="E118" s="7" t="str">
        <f>"甘湘华"</f>
        <v>甘湘华</v>
      </c>
      <c r="F118" s="7" t="str">
        <f>"高远"</f>
        <v>高远</v>
      </c>
      <c r="G118" s="7" t="str">
        <f>"123020104016"</f>
        <v>123020104016</v>
      </c>
    </row>
    <row r="119" ht="24" spans="1:7">
      <c r="A119" s="7">
        <v>117</v>
      </c>
      <c r="B119" s="7" t="str">
        <f t="shared" si="5"/>
        <v>工商管理学院</v>
      </c>
      <c r="C119" s="7" t="str">
        <f>"大数据与统计学"</f>
        <v>大数据与统计学</v>
      </c>
      <c r="D119" s="7" t="str">
        <f>"星期三第10-12节{1-17周}"</f>
        <v>星期三第10-12节{1-17周}</v>
      </c>
      <c r="E119" s="7" t="str">
        <f>"甘湘华"</f>
        <v>甘湘华</v>
      </c>
      <c r="F119" s="7" t="str">
        <f>"吕禄丙"</f>
        <v>吕禄丙</v>
      </c>
      <c r="G119" s="7" t="str">
        <f>"1241202Z9007"</f>
        <v>1241202Z9007</v>
      </c>
    </row>
    <row r="120" ht="24" spans="1:7">
      <c r="A120" s="7">
        <v>118</v>
      </c>
      <c r="B120" s="7" t="str">
        <f>"财政税务学院"</f>
        <v>财政税务学院</v>
      </c>
      <c r="C120" s="7" t="str">
        <f>"财政学"</f>
        <v>财政学</v>
      </c>
      <c r="D120" s="7" t="str">
        <f>"星期二第1-3节{1-17周}"</f>
        <v>星期二第1-3节{1-17周}</v>
      </c>
      <c r="E120" s="7" t="str">
        <f>"周克清"</f>
        <v>周克清</v>
      </c>
      <c r="F120" s="7" t="str">
        <f>"陈凤锦"</f>
        <v>陈凤锦</v>
      </c>
      <c r="G120" s="7" t="str">
        <f>"123020203003"</f>
        <v>123020203003</v>
      </c>
    </row>
    <row r="121" ht="24" spans="1:7">
      <c r="A121" s="7">
        <v>119</v>
      </c>
      <c r="B121" s="7" t="str">
        <f>"财政税务学院"</f>
        <v>财政税务学院</v>
      </c>
      <c r="C121" s="7" t="str">
        <f>"财政学"</f>
        <v>财政学</v>
      </c>
      <c r="D121" s="7" t="str">
        <f>"星期五第1-3节{1-17周}"</f>
        <v>星期五第1-3节{1-17周}</v>
      </c>
      <c r="E121" s="7" t="str">
        <f>"李超"</f>
        <v>李超</v>
      </c>
      <c r="F121" s="7" t="str">
        <f>"高原"</f>
        <v>高原</v>
      </c>
      <c r="G121" s="7" t="str">
        <f>"1230202Z6001"</f>
        <v>1230202Z6001</v>
      </c>
    </row>
    <row r="122" ht="24" spans="1:7">
      <c r="A122" s="7">
        <v>120</v>
      </c>
      <c r="B122" s="7" t="str">
        <f>"财政税务学院"</f>
        <v>财政税务学院</v>
      </c>
      <c r="C122" s="7" t="str">
        <f>"财政学"</f>
        <v>财政学</v>
      </c>
      <c r="D122" s="7" t="str">
        <f>"星期五第1-3节{1-17周}"</f>
        <v>星期五第1-3节{1-17周}</v>
      </c>
      <c r="E122" s="7" t="str">
        <f>"张筱歌"</f>
        <v>张筱歌</v>
      </c>
      <c r="F122" s="7" t="str">
        <f>"宋靖宇"</f>
        <v>宋靖宇</v>
      </c>
      <c r="G122" s="7" t="str">
        <f>"224020203021"</f>
        <v>224020203021</v>
      </c>
    </row>
    <row r="123" ht="24" spans="1:7">
      <c r="A123" s="7">
        <v>121</v>
      </c>
      <c r="B123" s="7" t="str">
        <f>"财政税务学院"</f>
        <v>财政税务学院</v>
      </c>
      <c r="C123" s="7" t="str">
        <f>"财政学"</f>
        <v>财政学</v>
      </c>
      <c r="D123" s="7" t="str">
        <f>"星期二第10-12节{1-17周}"</f>
        <v>星期二第10-12节{1-17周}</v>
      </c>
      <c r="E123" s="7" t="str">
        <f>"杨进"</f>
        <v>杨进</v>
      </c>
      <c r="F123" s="7" t="str">
        <f>"黄若瑶"</f>
        <v>黄若瑶</v>
      </c>
      <c r="G123" s="7" t="str">
        <f>"123020203001"</f>
        <v>123020203001</v>
      </c>
    </row>
    <row r="124" ht="24" spans="1:7">
      <c r="A124" s="7">
        <v>122</v>
      </c>
      <c r="B124" s="7" t="str">
        <f>"国际商学院"</f>
        <v>国际商学院</v>
      </c>
      <c r="C124" s="7" t="str">
        <f>"微观经济学（双语）"</f>
        <v>微观经济学（双语）</v>
      </c>
      <c r="D124" s="7" t="str">
        <f>"星期三第10-12节{3-17周}"</f>
        <v>星期三第10-12节{3-17周}</v>
      </c>
      <c r="E124" s="7" t="str">
        <f>"王博"</f>
        <v>王博</v>
      </c>
      <c r="F124" s="7" t="str">
        <f>"吕欣悦"</f>
        <v>吕欣悦</v>
      </c>
      <c r="G124" s="7" t="str">
        <f>"124020206008"</f>
        <v>124020206008</v>
      </c>
    </row>
    <row r="125" ht="24" spans="1:7">
      <c r="A125" s="7">
        <v>123</v>
      </c>
      <c r="B125" s="7" t="str">
        <f>"国际商学院"</f>
        <v>国际商学院</v>
      </c>
      <c r="C125" s="7" t="str">
        <f>"微观经济学（双语）"</f>
        <v>微观经济学（双语）</v>
      </c>
      <c r="D125" s="7" t="str">
        <f>"星期三第10-12节{3-17周}"</f>
        <v>星期三第10-12节{3-17周}</v>
      </c>
      <c r="E125" s="7" t="str">
        <f>"周茂"</f>
        <v>周茂</v>
      </c>
      <c r="F125" s="7" t="str">
        <f>"李芬"</f>
        <v>李芬</v>
      </c>
      <c r="G125" s="7" t="str">
        <f>"124020206002"</f>
        <v>124020206002</v>
      </c>
    </row>
    <row r="126" ht="24" spans="1:7">
      <c r="A126" s="7">
        <v>124</v>
      </c>
      <c r="B126" s="7" t="str">
        <f>"国际商学院"</f>
        <v>国际商学院</v>
      </c>
      <c r="C126" s="7" t="str">
        <f>"微观经济学（双语）"</f>
        <v>微观经济学（双语）</v>
      </c>
      <c r="D126" s="7" t="str">
        <f>"星期三第5-7节{3-17周}"</f>
        <v>星期三第5-7节{3-17周}</v>
      </c>
      <c r="E126" s="7" t="str">
        <f>"周茂"</f>
        <v>周茂</v>
      </c>
      <c r="F126" s="7" t="str">
        <f>"许唅溪"</f>
        <v>许唅溪</v>
      </c>
      <c r="G126" s="7" t="str">
        <f>"224020206015"</f>
        <v>224020206015</v>
      </c>
    </row>
    <row r="127" ht="24" spans="1:7">
      <c r="A127" s="7">
        <v>125</v>
      </c>
      <c r="B127" s="7" t="str">
        <f>"经济与管理研究院"</f>
        <v>经济与管理研究院</v>
      </c>
      <c r="C127" s="7" t="str">
        <f>"中级宏观经济学（英）"</f>
        <v>中级宏观经济学（英）</v>
      </c>
      <c r="D127" s="7" t="str">
        <f>"星期一第10-12节{1-17周}"</f>
        <v>星期一第10-12节{1-17周}</v>
      </c>
      <c r="E127" s="7" t="str">
        <f>"张雷"</f>
        <v>张雷</v>
      </c>
      <c r="F127" s="7" t="str">
        <f>"冉珈瑄"</f>
        <v>冉珈瑄</v>
      </c>
      <c r="G127" s="7" t="str">
        <f>"124020104012"</f>
        <v>124020104012</v>
      </c>
    </row>
    <row r="128" ht="24" spans="1:7">
      <c r="A128" s="7">
        <v>126</v>
      </c>
      <c r="B128" s="7" t="str">
        <f>"经济与管理研究院"</f>
        <v>经济与管理研究院</v>
      </c>
      <c r="C128" s="7" t="str">
        <f>"中级宏观经济学（英）"</f>
        <v>中级宏观经济学（英）</v>
      </c>
      <c r="D128" s="7" t="str">
        <f>"星期一第5-7节{1-17周}"</f>
        <v>星期一第5-7节{1-17周}</v>
      </c>
      <c r="E128" s="7" t="str">
        <f>"张雷"</f>
        <v>张雷</v>
      </c>
      <c r="F128" s="7" t="str">
        <f>"刘梦洁"</f>
        <v>刘梦洁</v>
      </c>
      <c r="G128" s="7" t="str">
        <f>"124020204057"</f>
        <v>124020204057</v>
      </c>
    </row>
    <row r="129" ht="36" spans="1:7">
      <c r="A129" s="7">
        <v>127</v>
      </c>
      <c r="B129" s="7" t="str">
        <f>"经济与管理研究院"</f>
        <v>经济与管理研究院</v>
      </c>
      <c r="C129" s="7" t="str">
        <f>"概率论与数理统计(英)"</f>
        <v>概率论与数理统计(英)</v>
      </c>
      <c r="D129" s="7" t="str">
        <f>"星期一第1-2节{1-17周}，星期四第8-9节{1-17周}"</f>
        <v>星期一第1-2节{1-17周}，星期四第8-9节{1-17周}</v>
      </c>
      <c r="E129" s="7" t="str">
        <f>"王泽明"</f>
        <v>王泽明</v>
      </c>
      <c r="F129" s="7" t="str">
        <f>"张雪"</f>
        <v>张雪</v>
      </c>
      <c r="G129" s="7" t="str">
        <f>"224071400020"</f>
        <v>224071400020</v>
      </c>
    </row>
    <row r="130" ht="36" spans="1:7">
      <c r="A130" s="7">
        <v>128</v>
      </c>
      <c r="B130" s="7" t="str">
        <f>"经济与管理研究院"</f>
        <v>经济与管理研究院</v>
      </c>
      <c r="C130" s="7" t="str">
        <f>"概率论与数理统计(英)"</f>
        <v>概率论与数理统计(英)</v>
      </c>
      <c r="D130" s="7" t="str">
        <f>"星期一第1-2节{1-17周}，星期四第8-9节{1-17周}"</f>
        <v>星期一第1-2节{1-17周}，星期四第8-9节{1-17周}</v>
      </c>
      <c r="E130" s="7" t="str">
        <f>"黄勔"</f>
        <v>黄勔</v>
      </c>
      <c r="F130" s="7" t="str">
        <f>"曾鑫"</f>
        <v>曾鑫</v>
      </c>
      <c r="G130" s="7" t="str">
        <f>"223020204184"</f>
        <v>223020204184</v>
      </c>
    </row>
    <row r="131" ht="36" spans="1:7">
      <c r="A131" s="7">
        <v>129</v>
      </c>
      <c r="B131" s="7" t="str">
        <f>"经济与管理研究院"</f>
        <v>经济与管理研究院</v>
      </c>
      <c r="C131" s="7" t="str">
        <f>"概率论与数理统计(英)"</f>
        <v>概率论与数理统计(英)</v>
      </c>
      <c r="D131" s="7" t="str">
        <f>"星期一第8-9节{1-17周}，星期四第3-4节{1-17周}"</f>
        <v>星期一第8-9节{1-17周}，星期四第3-4节{1-17周}</v>
      </c>
      <c r="E131" s="7" t="str">
        <f>"黄勔"</f>
        <v>黄勔</v>
      </c>
      <c r="F131" s="7" t="str">
        <f>"李延"</f>
        <v>李延</v>
      </c>
      <c r="G131" s="7" t="str">
        <f>"223020204174"</f>
        <v>223020204174</v>
      </c>
    </row>
    <row r="132" ht="24" spans="1:7">
      <c r="A132" s="7">
        <v>130</v>
      </c>
      <c r="B132" s="7" t="str">
        <f>"管理科学与工程学院"</f>
        <v>管理科学与工程学院</v>
      </c>
      <c r="C132" s="7" t="str">
        <f>"金融数据分析与可视化"</f>
        <v>金融数据分析与可视化</v>
      </c>
      <c r="D132" s="7" t="str">
        <f>"星期四第1-3节{1-17周}"</f>
        <v>星期四第1-3节{1-17周}</v>
      </c>
      <c r="E132" s="7" t="str">
        <f>"王俊"</f>
        <v>王俊</v>
      </c>
      <c r="F132" s="7" t="str">
        <f>"阮皓"</f>
        <v>阮皓</v>
      </c>
      <c r="G132" s="7" t="str">
        <f>"124120100003"</f>
        <v>124120100003</v>
      </c>
    </row>
    <row r="133" ht="24" spans="1:7">
      <c r="A133" s="7">
        <v>131</v>
      </c>
      <c r="B133" s="7" t="str">
        <f>"管理科学与工程学院"</f>
        <v>管理科学与工程学院</v>
      </c>
      <c r="C133" s="7" t="str">
        <f>"金融数据分析与可视化"</f>
        <v>金融数据分析与可视化</v>
      </c>
      <c r="D133" s="7" t="str">
        <f>"星期三第1-3节{1-17周}"</f>
        <v>星期三第1-3节{1-17周}</v>
      </c>
      <c r="E133" s="7" t="str">
        <f>"张木雨"</f>
        <v>张木雨</v>
      </c>
      <c r="F133" s="7" t="str">
        <f>"田甜"</f>
        <v>田甜</v>
      </c>
      <c r="G133" s="7" t="str">
        <f>"223020204149"</f>
        <v>223020204149</v>
      </c>
    </row>
    <row r="134" ht="24" spans="1:7">
      <c r="A134" s="7">
        <v>132</v>
      </c>
      <c r="B134" s="7" t="str">
        <f>"管理科学与工程学院"</f>
        <v>管理科学与工程学院</v>
      </c>
      <c r="C134" s="7" t="str">
        <f>"金融数据分析与可视化"</f>
        <v>金融数据分析与可视化</v>
      </c>
      <c r="D134" s="7" t="str">
        <f>"星期三第10-12节{1-17周}"</f>
        <v>星期三第10-12节{1-17周}</v>
      </c>
      <c r="E134" s="7" t="str">
        <f>"张阳"</f>
        <v>张阳</v>
      </c>
      <c r="F134" s="7" t="str">
        <f>"金汉磊"</f>
        <v>金汉磊</v>
      </c>
      <c r="G134" s="7" t="str">
        <f>"123120100003"</f>
        <v>123120100003</v>
      </c>
    </row>
    <row r="135" ht="24" spans="1:7">
      <c r="A135" s="7">
        <v>133</v>
      </c>
      <c r="B135" s="7" t="str">
        <f t="shared" ref="B135:B157" si="6">"计算机与人工智能学院"</f>
        <v>计算机与人工智能学院</v>
      </c>
      <c r="C135" s="7" t="str">
        <f>"人工智能与现代科技"</f>
        <v>人工智能与现代科技</v>
      </c>
      <c r="D135" s="7" t="str">
        <f>"星期一第10-11节{1-17周}"</f>
        <v>星期一第10-11节{1-17周}</v>
      </c>
      <c r="E135" s="7" t="str">
        <f>"钟俊英"</f>
        <v>钟俊英</v>
      </c>
      <c r="F135" s="7" t="str">
        <f>"鲜晓静"</f>
        <v>鲜晓静</v>
      </c>
      <c r="G135" s="7" t="str">
        <f>"123120203003"</f>
        <v>123120203003</v>
      </c>
    </row>
    <row r="136" ht="24" spans="1:7">
      <c r="A136" s="7">
        <v>134</v>
      </c>
      <c r="B136" s="7" t="str">
        <f t="shared" si="6"/>
        <v>计算机与人工智能学院</v>
      </c>
      <c r="C136" s="7" t="str">
        <f>"人工智能与现代科技"</f>
        <v>人工智能与现代科技</v>
      </c>
      <c r="D136" s="7" t="str">
        <f>"星期三第1-2节{1-17周}"</f>
        <v>星期三第1-2节{1-17周}</v>
      </c>
      <c r="E136" s="7" t="str">
        <f>"钟俊英"</f>
        <v>钟俊英</v>
      </c>
      <c r="F136" s="7" t="str">
        <f>"陈条"</f>
        <v>陈条</v>
      </c>
      <c r="G136" s="7" t="str">
        <f>"123020204021"</f>
        <v>123020204021</v>
      </c>
    </row>
    <row r="137" ht="24" spans="1:7">
      <c r="A137" s="7">
        <v>135</v>
      </c>
      <c r="B137" s="7" t="str">
        <f t="shared" si="6"/>
        <v>计算机与人工智能学院</v>
      </c>
      <c r="C137" s="7" t="str">
        <f>"人工智能与现代科技"</f>
        <v>人工智能与现代科技</v>
      </c>
      <c r="D137" s="7" t="str">
        <f>"星期三第8-9节{1-17周}"</f>
        <v>星期三第8-9节{1-17周}</v>
      </c>
      <c r="E137" s="7" t="str">
        <f>"钟俊英"</f>
        <v>钟俊英</v>
      </c>
      <c r="F137" s="7" t="str">
        <f>"田振中"</f>
        <v>田振中</v>
      </c>
      <c r="G137" s="7" t="str">
        <f>"121020209003"</f>
        <v>121020209003</v>
      </c>
    </row>
    <row r="138" ht="24" spans="1:7">
      <c r="A138" s="7">
        <v>136</v>
      </c>
      <c r="B138" s="7" t="str">
        <f t="shared" si="6"/>
        <v>计算机与人工智能学院</v>
      </c>
      <c r="C138" s="7" t="str">
        <f>"人工智能与现代科技"</f>
        <v>人工智能与现代科技</v>
      </c>
      <c r="D138" s="7" t="str">
        <f>"星期四第8-9节{1-17周}"</f>
        <v>星期四第8-9节{1-17周}</v>
      </c>
      <c r="E138" s="7" t="str">
        <f>"张丹"</f>
        <v>张丹</v>
      </c>
      <c r="F138" s="7" t="str">
        <f>"李柱希"</f>
        <v>李柱希</v>
      </c>
      <c r="G138" s="7" t="str">
        <f>"224081200035"</f>
        <v>224081200035</v>
      </c>
    </row>
    <row r="139" ht="24" spans="1:7">
      <c r="A139" s="7">
        <v>137</v>
      </c>
      <c r="B139" s="7" t="str">
        <f t="shared" si="6"/>
        <v>计算机与人工智能学院</v>
      </c>
      <c r="C139" s="7" t="str">
        <f>"人工智能与现代科技"</f>
        <v>人工智能与现代科技</v>
      </c>
      <c r="D139" s="7" t="str">
        <f>"星期四第8-9节{1-17周}"</f>
        <v>星期四第8-9节{1-17周}</v>
      </c>
      <c r="E139" s="7" t="str">
        <f>"张丹"</f>
        <v>张丹</v>
      </c>
      <c r="F139" s="7" t="str">
        <f>"杨国威"</f>
        <v>杨国威</v>
      </c>
      <c r="G139" s="7" t="str">
        <f>"1240701Z1003"</f>
        <v>1240701Z1003</v>
      </c>
    </row>
    <row r="140" ht="24" spans="1:7">
      <c r="A140" s="7">
        <v>138</v>
      </c>
      <c r="B140" s="7" t="str">
        <f t="shared" si="6"/>
        <v>计算机与人工智能学院</v>
      </c>
      <c r="C140" s="7" t="str">
        <f>"大模型应用"</f>
        <v>大模型应用</v>
      </c>
      <c r="D140" s="7" t="str">
        <f>"星期三第8-9节{3-17周}"</f>
        <v>星期三第8-9节{3-17周}</v>
      </c>
      <c r="E140" s="7" t="str">
        <f>"黄士罗"</f>
        <v>黄士罗</v>
      </c>
      <c r="F140" s="7" t="str">
        <f>"彭俊翔"</f>
        <v>彭俊翔</v>
      </c>
      <c r="G140" s="7" t="str">
        <f>"224081200015"</f>
        <v>224081200015</v>
      </c>
    </row>
    <row r="141" ht="24" spans="1:7">
      <c r="A141" s="7">
        <v>139</v>
      </c>
      <c r="B141" s="7" t="str">
        <f t="shared" si="6"/>
        <v>计算机与人工智能学院</v>
      </c>
      <c r="C141" s="7" t="str">
        <f>"大模型应用"</f>
        <v>大模型应用</v>
      </c>
      <c r="D141" s="7" t="str">
        <f>"星期四第1-2节{3-17周}"</f>
        <v>星期四第1-2节{3-17周}</v>
      </c>
      <c r="E141" s="7" t="str">
        <f>"温良剑"</f>
        <v>温良剑</v>
      </c>
      <c r="F141" s="7" t="str">
        <f>"郑江涛"</f>
        <v>郑江涛</v>
      </c>
      <c r="G141" s="7" t="str">
        <f>"224081200027"</f>
        <v>224081200027</v>
      </c>
    </row>
    <row r="142" ht="24" spans="1:7">
      <c r="A142" s="7">
        <v>140</v>
      </c>
      <c r="B142" s="7" t="str">
        <f t="shared" si="6"/>
        <v>计算机与人工智能学院</v>
      </c>
      <c r="C142" s="7" t="str">
        <f>"人工智能与现代科技"</f>
        <v>人工智能与现代科技</v>
      </c>
      <c r="D142" s="7" t="str">
        <f>"星期五第8-9节{1-17周}"</f>
        <v>星期五第8-9节{1-17周}</v>
      </c>
      <c r="E142" s="7" t="str">
        <f>"罗珺方"</f>
        <v>罗珺方</v>
      </c>
      <c r="F142" s="7" t="str">
        <f>"赵家浩"</f>
        <v>赵家浩</v>
      </c>
      <c r="G142" s="7" t="str">
        <f>"224081200018"</f>
        <v>224081200018</v>
      </c>
    </row>
    <row r="143" ht="24" spans="1:7">
      <c r="A143" s="7">
        <v>141</v>
      </c>
      <c r="B143" s="7" t="str">
        <f t="shared" si="6"/>
        <v>计算机与人工智能学院</v>
      </c>
      <c r="C143" s="7" t="str">
        <f>"人工智能与现代科技"</f>
        <v>人工智能与现代科技</v>
      </c>
      <c r="D143" s="7" t="str">
        <f>"星期三第10-11节{1-17周}"</f>
        <v>星期三第10-11节{1-17周}</v>
      </c>
      <c r="E143" s="7" t="str">
        <f>"罗珺方"</f>
        <v>罗珺方</v>
      </c>
      <c r="F143" s="7" t="str">
        <f>"曹雪梅"</f>
        <v>曹雪梅</v>
      </c>
      <c r="G143" s="7" t="str">
        <f>"1230701Z1003"</f>
        <v>1230701Z1003</v>
      </c>
    </row>
    <row r="144" ht="24" spans="1:7">
      <c r="A144" s="7">
        <v>142</v>
      </c>
      <c r="B144" s="7" t="str">
        <f t="shared" si="6"/>
        <v>计算机与人工智能学院</v>
      </c>
      <c r="C144" s="7" t="str">
        <f>"人工智能与现代科技"</f>
        <v>人工智能与现代科技</v>
      </c>
      <c r="D144" s="7" t="str">
        <f>"星期四第3-4节{1-17周}"</f>
        <v>星期四第3-4节{1-17周}</v>
      </c>
      <c r="E144" s="7" t="str">
        <f>"李永豪"</f>
        <v>李永豪</v>
      </c>
      <c r="F144" s="7" t="str">
        <f>"李响"</f>
        <v>李响</v>
      </c>
      <c r="G144" s="7" t="str">
        <f>"224081200026"</f>
        <v>224081200026</v>
      </c>
    </row>
    <row r="145" ht="24" spans="1:7">
      <c r="A145" s="7">
        <v>143</v>
      </c>
      <c r="B145" s="7" t="str">
        <f t="shared" si="6"/>
        <v>计算机与人工智能学院</v>
      </c>
      <c r="C145" s="7" t="str">
        <f>"大模型应用"</f>
        <v>大模型应用</v>
      </c>
      <c r="D145" s="7" t="str">
        <f>"星期三第3-4节{3-17周}"</f>
        <v>星期三第3-4节{3-17周}</v>
      </c>
      <c r="E145" s="7" t="str">
        <f>"张蕊"</f>
        <v>张蕊</v>
      </c>
      <c r="F145" s="7" t="str">
        <f>"沈伟"</f>
        <v>沈伟</v>
      </c>
      <c r="G145" s="7" t="str">
        <f>"224081200028"</f>
        <v>224081200028</v>
      </c>
    </row>
    <row r="146" ht="24" spans="1:7">
      <c r="A146" s="7">
        <v>144</v>
      </c>
      <c r="B146" s="7" t="str">
        <f t="shared" si="6"/>
        <v>计算机与人工智能学院</v>
      </c>
      <c r="C146" s="7" t="str">
        <f>"大模型应用"</f>
        <v>大模型应用</v>
      </c>
      <c r="D146" s="7" t="str">
        <f>"星期三第8-9节{3-17周}"</f>
        <v>星期三第8-9节{3-17周}</v>
      </c>
      <c r="E146" s="7" t="str">
        <f>"张蕊"</f>
        <v>张蕊</v>
      </c>
      <c r="F146" s="7" t="str">
        <f>"陈思源"</f>
        <v>陈思源</v>
      </c>
      <c r="G146" s="7" t="str">
        <f>"224081200013"</f>
        <v>224081200013</v>
      </c>
    </row>
    <row r="147" ht="24" spans="1:7">
      <c r="A147" s="7">
        <v>145</v>
      </c>
      <c r="B147" s="7" t="str">
        <f t="shared" si="6"/>
        <v>计算机与人工智能学院</v>
      </c>
      <c r="C147" s="7" t="str">
        <f t="shared" ref="C147:C157" si="7">"人工智能与现代科技"</f>
        <v>人工智能与现代科技</v>
      </c>
      <c r="D147" s="7" t="str">
        <f>"星期五第8-9节{1-17周}"</f>
        <v>星期五第8-9节{1-17周}</v>
      </c>
      <c r="E147" s="7" t="str">
        <f>"王武"</f>
        <v>王武</v>
      </c>
      <c r="F147" s="7" t="str">
        <f>"周怡"</f>
        <v>周怡</v>
      </c>
      <c r="G147" s="7" t="str">
        <f>"1240701Z1001"</f>
        <v>1240701Z1001</v>
      </c>
    </row>
    <row r="148" ht="24" spans="1:7">
      <c r="A148" s="7">
        <v>146</v>
      </c>
      <c r="B148" s="7" t="str">
        <f t="shared" si="6"/>
        <v>计算机与人工智能学院</v>
      </c>
      <c r="C148" s="7" t="str">
        <f t="shared" si="7"/>
        <v>人工智能与现代科技</v>
      </c>
      <c r="D148" s="7" t="str">
        <f>"星期一第8-9节{1-17周}"</f>
        <v>星期一第8-9节{1-17周}</v>
      </c>
      <c r="E148" s="7" t="str">
        <f>"吕新昱"</f>
        <v>吕新昱</v>
      </c>
      <c r="F148" s="7" t="str">
        <f>"范威"</f>
        <v>范威</v>
      </c>
      <c r="G148" s="7" t="str">
        <f>"1240701Z1008"</f>
        <v>1240701Z1008</v>
      </c>
    </row>
    <row r="149" ht="24" spans="1:7">
      <c r="A149" s="7">
        <v>147</v>
      </c>
      <c r="B149" s="7" t="str">
        <f t="shared" si="6"/>
        <v>计算机与人工智能学院</v>
      </c>
      <c r="C149" s="7" t="str">
        <f t="shared" si="7"/>
        <v>人工智能与现代科技</v>
      </c>
      <c r="D149" s="7" t="str">
        <f>"星期五第8-9节{1-17周}"</f>
        <v>星期五第8-9节{1-17周}</v>
      </c>
      <c r="E149" s="7" t="str">
        <f>"杨山田"</f>
        <v>杨山田</v>
      </c>
      <c r="F149" s="7" t="str">
        <f>"邓文扬"</f>
        <v>邓文扬</v>
      </c>
      <c r="G149" s="7" t="str">
        <f>"223081200034"</f>
        <v>223081200034</v>
      </c>
    </row>
    <row r="150" ht="24" spans="1:7">
      <c r="A150" s="7">
        <v>148</v>
      </c>
      <c r="B150" s="7" t="str">
        <f t="shared" si="6"/>
        <v>计算机与人工智能学院</v>
      </c>
      <c r="C150" s="7" t="str">
        <f t="shared" si="7"/>
        <v>人工智能与现代科技</v>
      </c>
      <c r="D150" s="7" t="str">
        <f>"星期四第1-2节{1-17周}"</f>
        <v>星期四第1-2节{1-17周}</v>
      </c>
      <c r="E150" s="7" t="str">
        <f>"杨山田"</f>
        <v>杨山田</v>
      </c>
      <c r="F150" s="7" t="str">
        <f>"杨科强"</f>
        <v>杨科强</v>
      </c>
      <c r="G150" s="7" t="str">
        <f>"223081200053"</f>
        <v>223081200053</v>
      </c>
    </row>
    <row r="151" ht="24" spans="1:7">
      <c r="A151" s="7">
        <v>149</v>
      </c>
      <c r="B151" s="7" t="str">
        <f t="shared" si="6"/>
        <v>计算机与人工智能学院</v>
      </c>
      <c r="C151" s="7" t="str">
        <f t="shared" si="7"/>
        <v>人工智能与现代科技</v>
      </c>
      <c r="D151" s="7" t="str">
        <f>"星期四第5-6节{1-17周}"</f>
        <v>星期四第5-6节{1-17周}</v>
      </c>
      <c r="E151" s="7" t="str">
        <f>"黄鹂"</f>
        <v>黄鹂</v>
      </c>
      <c r="F151" s="7" t="str">
        <f>"谢炎哲"</f>
        <v>谢炎哲</v>
      </c>
      <c r="G151" s="7" t="str">
        <f>"223081200056"</f>
        <v>223081200056</v>
      </c>
    </row>
    <row r="152" ht="24" spans="1:7">
      <c r="A152" s="7">
        <v>150</v>
      </c>
      <c r="B152" s="7" t="str">
        <f t="shared" si="6"/>
        <v>计算机与人工智能学院</v>
      </c>
      <c r="C152" s="7" t="str">
        <f t="shared" si="7"/>
        <v>人工智能与现代科技</v>
      </c>
      <c r="D152" s="7" t="str">
        <f>"星期四第3-4节{1-17周}"</f>
        <v>星期四第3-4节{1-17周}</v>
      </c>
      <c r="E152" s="7" t="str">
        <f>"付慧敏"</f>
        <v>付慧敏</v>
      </c>
      <c r="F152" s="7" t="str">
        <f>"潘超凡"</f>
        <v>潘超凡</v>
      </c>
      <c r="G152" s="7" t="str">
        <f>"1230701Z1005"</f>
        <v>1230701Z1005</v>
      </c>
    </row>
    <row r="153" ht="24" spans="1:7">
      <c r="A153" s="7">
        <v>151</v>
      </c>
      <c r="B153" s="7" t="str">
        <f t="shared" si="6"/>
        <v>计算机与人工智能学院</v>
      </c>
      <c r="C153" s="7" t="str">
        <f t="shared" si="7"/>
        <v>人工智能与现代科技</v>
      </c>
      <c r="D153" s="7" t="str">
        <f>"星期四第1-2节{1-17周}"</f>
        <v>星期四第1-2节{1-17周}</v>
      </c>
      <c r="E153" s="7" t="str">
        <f>"付慧敏"</f>
        <v>付慧敏</v>
      </c>
      <c r="F153" s="7" t="str">
        <f>"贾书恒"</f>
        <v>贾书恒</v>
      </c>
      <c r="G153" s="7" t="str">
        <f>"223081200044"</f>
        <v>223081200044</v>
      </c>
    </row>
    <row r="154" ht="24" spans="1:7">
      <c r="A154" s="7">
        <v>152</v>
      </c>
      <c r="B154" s="7" t="str">
        <f t="shared" si="6"/>
        <v>计算机与人工智能学院</v>
      </c>
      <c r="C154" s="7" t="str">
        <f t="shared" si="7"/>
        <v>人工智能与现代科技</v>
      </c>
      <c r="D154" s="7" t="str">
        <f>"星期四第8-9节{1-17周}"</f>
        <v>星期四第8-9节{1-17周}</v>
      </c>
      <c r="E154" s="7" t="str">
        <f>"付慧敏"</f>
        <v>付慧敏</v>
      </c>
      <c r="F154" s="7" t="str">
        <f>"王景凯"</f>
        <v>王景凯</v>
      </c>
      <c r="G154" s="7" t="str">
        <f>"223081200060"</f>
        <v>223081200060</v>
      </c>
    </row>
    <row r="155" ht="24" spans="1:7">
      <c r="A155" s="7">
        <v>153</v>
      </c>
      <c r="B155" s="7" t="str">
        <f t="shared" si="6"/>
        <v>计算机与人工智能学院</v>
      </c>
      <c r="C155" s="7" t="str">
        <f t="shared" si="7"/>
        <v>人工智能与现代科技</v>
      </c>
      <c r="D155" s="7" t="str">
        <f>"星期一第3-4节{1-17周}"</f>
        <v>星期一第3-4节{1-17周}</v>
      </c>
      <c r="E155" s="7" t="str">
        <f>"李拓航"</f>
        <v>李拓航</v>
      </c>
      <c r="F155" s="7" t="str">
        <f>"李广飞"</f>
        <v>李广飞</v>
      </c>
      <c r="G155" s="7" t="str">
        <f>"224081200046"</f>
        <v>224081200046</v>
      </c>
    </row>
    <row r="156" ht="24" spans="1:7">
      <c r="A156" s="7">
        <v>154</v>
      </c>
      <c r="B156" s="7" t="str">
        <f t="shared" si="6"/>
        <v>计算机与人工智能学院</v>
      </c>
      <c r="C156" s="7" t="str">
        <f t="shared" si="7"/>
        <v>人工智能与现代科技</v>
      </c>
      <c r="D156" s="7" t="str">
        <f>"星期四第5-6节{1-17周}"</f>
        <v>星期四第5-6节{1-17周}</v>
      </c>
      <c r="E156" s="7" t="str">
        <f>"任灵飞"</f>
        <v>任灵飞</v>
      </c>
      <c r="F156" s="7" t="str">
        <f>"李艳花"</f>
        <v>李艳花</v>
      </c>
      <c r="G156" s="7" t="str">
        <f>"1221202Z3002"</f>
        <v>1221202Z3002</v>
      </c>
    </row>
    <row r="157" ht="24" spans="1:7">
      <c r="A157" s="7">
        <v>155</v>
      </c>
      <c r="B157" s="7" t="str">
        <f t="shared" si="6"/>
        <v>计算机与人工智能学院</v>
      </c>
      <c r="C157" s="7" t="str">
        <f t="shared" si="7"/>
        <v>人工智能与现代科技</v>
      </c>
      <c r="D157" s="7" t="str">
        <f>"星期一第8-9节{1-17周}"</f>
        <v>星期一第8-9节{1-17周}</v>
      </c>
      <c r="E157" s="7" t="str">
        <f>"任灵飞"</f>
        <v>任灵飞</v>
      </c>
      <c r="F157" s="7" t="str">
        <f>"李婷婷"</f>
        <v>李婷婷</v>
      </c>
      <c r="G157" s="7" t="str">
        <f>"224081200017"</f>
        <v>224081200017</v>
      </c>
    </row>
    <row r="158" ht="36" spans="1:7">
      <c r="A158" s="7">
        <v>156</v>
      </c>
      <c r="B158" s="7" t="str">
        <f t="shared" ref="B158:B221" si="8">"数学学院"</f>
        <v>数学学院</v>
      </c>
      <c r="C158" s="7" t="str">
        <f>"高等数学Ⅰ"</f>
        <v>高等数学Ⅰ</v>
      </c>
      <c r="D158" s="7" t="str">
        <f>"星期二第3-4节{1-17周}，星期四第5-7节{1-17周}"</f>
        <v>星期二第3-4节{1-17周}，星期四第5-7节{1-17周}</v>
      </c>
      <c r="E158" s="7" t="str">
        <f>"吴静"</f>
        <v>吴静</v>
      </c>
      <c r="F158" s="7" t="str">
        <f>"张静"</f>
        <v>张静</v>
      </c>
      <c r="G158" s="7" t="str">
        <f>"1211202Z9004"</f>
        <v>1211202Z9004</v>
      </c>
    </row>
    <row r="159" ht="36" spans="1:7">
      <c r="A159" s="7">
        <v>157</v>
      </c>
      <c r="B159" s="7" t="str">
        <f t="shared" si="8"/>
        <v>数学学院</v>
      </c>
      <c r="C159" s="7" t="str">
        <f>"高等数学Ⅰ"</f>
        <v>高等数学Ⅰ</v>
      </c>
      <c r="D159" s="7" t="str">
        <f>"星期二第1-2节{1-17周}，星期四第1-3节{1-17周}"</f>
        <v>星期二第1-2节{1-17周}，星期四第1-3节{1-17周}</v>
      </c>
      <c r="E159" s="7" t="str">
        <f>"吴静"</f>
        <v>吴静</v>
      </c>
      <c r="F159" s="7" t="str">
        <f>"张桂芳"</f>
        <v>张桂芳</v>
      </c>
      <c r="G159" s="7" t="str">
        <f>"1221202Z9006"</f>
        <v>1221202Z9006</v>
      </c>
    </row>
    <row r="160" ht="24" spans="1:7">
      <c r="A160" s="7">
        <v>158</v>
      </c>
      <c r="B160" s="7" t="str">
        <f t="shared" si="8"/>
        <v>数学学院</v>
      </c>
      <c r="C160" s="7" t="str">
        <f>"常微分方程"</f>
        <v>常微分方程</v>
      </c>
      <c r="D160" s="7" t="str">
        <f>"星期三第5-7节{1-17周}"</f>
        <v>星期三第5-7节{1-17周}</v>
      </c>
      <c r="E160" s="7" t="str">
        <f>"冯保伟"</f>
        <v>冯保伟</v>
      </c>
      <c r="F160" s="7" t="str">
        <f>"陈国歌"</f>
        <v>陈国歌</v>
      </c>
      <c r="G160" s="7" t="str">
        <f>"223070100009"</f>
        <v>223070100009</v>
      </c>
    </row>
    <row r="161" ht="24" spans="1:7">
      <c r="A161" s="7">
        <v>159</v>
      </c>
      <c r="B161" s="7" t="str">
        <f t="shared" si="8"/>
        <v>数学学院</v>
      </c>
      <c r="C161" s="7" t="str">
        <f>"常微分方程"</f>
        <v>常微分方程</v>
      </c>
      <c r="D161" s="7" t="str">
        <f>"星期一第10-12节{1-17周}"</f>
        <v>星期一第10-12节{1-17周}</v>
      </c>
      <c r="E161" s="7" t="str">
        <f>"冯保伟"</f>
        <v>冯保伟</v>
      </c>
      <c r="F161" s="7" t="str">
        <f>"陈泳"</f>
        <v>陈泳</v>
      </c>
      <c r="G161" s="7" t="str">
        <f>"224070100014"</f>
        <v>224070100014</v>
      </c>
    </row>
    <row r="162" ht="36" spans="1:7">
      <c r="A162" s="7">
        <v>160</v>
      </c>
      <c r="B162" s="7" t="str">
        <f t="shared" si="8"/>
        <v>数学学院</v>
      </c>
      <c r="C162" s="7" t="str">
        <f>"数学分析Ⅰ（理科）"</f>
        <v>数学分析Ⅰ（理科）</v>
      </c>
      <c r="D162" s="7" t="str">
        <f>"星期一第1-3节{1-17周}，星期三第1-3节{1-17周}"</f>
        <v>星期一第1-3节{1-17周}，星期三第1-3节{1-17周}</v>
      </c>
      <c r="E162" s="7" t="str">
        <f>"冯保伟"</f>
        <v>冯保伟</v>
      </c>
      <c r="F162" s="7" t="str">
        <f>"吴建强"</f>
        <v>吴建强</v>
      </c>
      <c r="G162" s="7" t="str">
        <f>"123070100001"</f>
        <v>123070100001</v>
      </c>
    </row>
    <row r="163" ht="24" spans="1:7">
      <c r="A163" s="7">
        <v>161</v>
      </c>
      <c r="B163" s="7" t="str">
        <f t="shared" si="8"/>
        <v>数学学院</v>
      </c>
      <c r="C163" s="7" t="str">
        <f>"金融随机分析"</f>
        <v>金融随机分析</v>
      </c>
      <c r="D163" s="7" t="str">
        <f>"星期三第5-7节{1-17周}"</f>
        <v>星期三第5-7节{1-17周}</v>
      </c>
      <c r="E163" s="7" t="str">
        <f>"梁浩"</f>
        <v>梁浩</v>
      </c>
      <c r="F163" s="7" t="str">
        <f>"吴佶芮"</f>
        <v>吴佶芮</v>
      </c>
      <c r="G163" s="7" t="str">
        <f>"224070100025"</f>
        <v>224070100025</v>
      </c>
    </row>
    <row r="164" ht="24" spans="1:7">
      <c r="A164" s="7">
        <v>162</v>
      </c>
      <c r="B164" s="7" t="str">
        <f t="shared" si="8"/>
        <v>数学学院</v>
      </c>
      <c r="C164" s="7" t="str">
        <f>"金融随机分析"</f>
        <v>金融随机分析</v>
      </c>
      <c r="D164" s="7" t="str">
        <f>"星期一第5-7节{1-17周}"</f>
        <v>星期一第5-7节{1-17周}</v>
      </c>
      <c r="E164" s="7" t="str">
        <f>"梁浩"</f>
        <v>梁浩</v>
      </c>
      <c r="F164" s="7" t="str">
        <f>"杨若樱"</f>
        <v>杨若樱</v>
      </c>
      <c r="G164" s="7" t="str">
        <f>"224070100026"</f>
        <v>224070100026</v>
      </c>
    </row>
    <row r="165" ht="24" spans="1:7">
      <c r="A165" s="7">
        <v>163</v>
      </c>
      <c r="B165" s="7" t="str">
        <f t="shared" si="8"/>
        <v>数学学院</v>
      </c>
      <c r="C165" s="7" t="str">
        <f>"金融随机分析Ⅱ"</f>
        <v>金融随机分析Ⅱ</v>
      </c>
      <c r="D165" s="7" t="str">
        <f>"星期三第10-12节{1-17周}"</f>
        <v>星期三第10-12节{1-17周}</v>
      </c>
      <c r="E165" s="7" t="str">
        <f>"梁浩"</f>
        <v>梁浩</v>
      </c>
      <c r="F165" s="7" t="str">
        <f>"张薇"</f>
        <v>张薇</v>
      </c>
      <c r="G165" s="7" t="str">
        <f>"123070100003"</f>
        <v>123070100003</v>
      </c>
    </row>
    <row r="166" ht="24" spans="1:7">
      <c r="A166" s="7">
        <v>164</v>
      </c>
      <c r="B166" s="7" t="str">
        <f t="shared" si="8"/>
        <v>数学学院</v>
      </c>
      <c r="C166" s="7" t="str">
        <f>"金融随机分析"</f>
        <v>金融随机分析</v>
      </c>
      <c r="D166" s="7" t="str">
        <f>"星期一第10-12节{1-17周}"</f>
        <v>星期一第10-12节{1-17周}</v>
      </c>
      <c r="E166" s="7" t="str">
        <f>"梁浩"</f>
        <v>梁浩</v>
      </c>
      <c r="F166" s="7" t="str">
        <f>"闫璐瑶"</f>
        <v>闫璐瑶</v>
      </c>
      <c r="G166" s="7" t="str">
        <f>"2240202Z1014"</f>
        <v>2240202Z1014</v>
      </c>
    </row>
    <row r="167" ht="36" spans="1:7">
      <c r="A167" s="7">
        <v>165</v>
      </c>
      <c r="B167" s="7" t="str">
        <f t="shared" si="8"/>
        <v>数学学院</v>
      </c>
      <c r="C167" s="7" t="str">
        <f>"高等数学Ⅰ"</f>
        <v>高等数学Ⅰ</v>
      </c>
      <c r="D167" s="7" t="str">
        <f>"星期二第1-3节{1-17周}，星期四第1-2节{1-17周}"</f>
        <v>星期二第1-3节{1-17周}，星期四第1-2节{1-17周}</v>
      </c>
      <c r="E167" s="7" t="str">
        <f>"李凤英"</f>
        <v>李凤英</v>
      </c>
      <c r="F167" s="7" t="str">
        <f>"翟怡寒"</f>
        <v>翟怡寒</v>
      </c>
      <c r="G167" s="7" t="str">
        <f>"2230202Z1020"</f>
        <v>2230202Z1020</v>
      </c>
    </row>
    <row r="168" ht="36" spans="1:7">
      <c r="A168" s="7">
        <v>166</v>
      </c>
      <c r="B168" s="7" t="str">
        <f t="shared" si="8"/>
        <v>数学学院</v>
      </c>
      <c r="C168" s="7" t="str">
        <f>"高等数学Ⅰ"</f>
        <v>高等数学Ⅰ</v>
      </c>
      <c r="D168" s="7" t="str">
        <f>"星期二第10-12节{1-17周}，星期四第8-9节{1-17周}"</f>
        <v>星期二第10-12节{1-17周}，星期四第8-9节{1-17周}</v>
      </c>
      <c r="E168" s="7" t="str">
        <f>"李凤英"</f>
        <v>李凤英</v>
      </c>
      <c r="F168" s="7" t="str">
        <f>"梁宇欣"</f>
        <v>梁宇欣</v>
      </c>
      <c r="G168" s="7" t="str">
        <f>"224070100002"</f>
        <v>224070100002</v>
      </c>
    </row>
    <row r="169" ht="24" spans="1:7">
      <c r="A169" s="7">
        <v>167</v>
      </c>
      <c r="B169" s="7" t="str">
        <f t="shared" si="8"/>
        <v>数学学院</v>
      </c>
      <c r="C169" s="7" t="str">
        <f>"金融衍生品定价"</f>
        <v>金融衍生品定价</v>
      </c>
      <c r="D169" s="7" t="str">
        <f>"星期四第5-7节{1-17周}"</f>
        <v>星期四第5-7节{1-17周}</v>
      </c>
      <c r="E169" s="7" t="str">
        <f>"余喜生"</f>
        <v>余喜生</v>
      </c>
      <c r="F169" s="7" t="str">
        <f>"楼叶飞"</f>
        <v>楼叶飞</v>
      </c>
      <c r="G169" s="7" t="str">
        <f>"2230202Z2020"</f>
        <v>2230202Z2020</v>
      </c>
    </row>
    <row r="170" ht="36" spans="1:7">
      <c r="A170" s="7">
        <v>168</v>
      </c>
      <c r="B170" s="7" t="str">
        <f t="shared" si="8"/>
        <v>数学学院</v>
      </c>
      <c r="C170" s="7" t="str">
        <f>"高等数学Ⅰ"</f>
        <v>高等数学Ⅰ</v>
      </c>
      <c r="D170" s="7" t="str">
        <f>"星期二第10-12节{1-17周}，星期三第5-6节{1-17周}"</f>
        <v>星期二第10-12节{1-17周}，星期三第5-6节{1-17周}</v>
      </c>
      <c r="E170" s="7" t="str">
        <f>"余喜生"</f>
        <v>余喜生</v>
      </c>
      <c r="F170" s="7" t="str">
        <f>"何惠珊"</f>
        <v>何惠珊</v>
      </c>
      <c r="G170" s="7" t="str">
        <f>"2240202Z1004"</f>
        <v>2240202Z1004</v>
      </c>
    </row>
    <row r="171" ht="36" spans="1:7">
      <c r="A171" s="7">
        <v>169</v>
      </c>
      <c r="B171" s="7" t="str">
        <f t="shared" si="8"/>
        <v>数学学院</v>
      </c>
      <c r="C171" s="7" t="str">
        <f>"高等数学Ⅰ"</f>
        <v>高等数学Ⅰ</v>
      </c>
      <c r="D171" s="7" t="str">
        <f>"星期二第1-3节{1-17周}，星期三第1-2节{1-17周}"</f>
        <v>星期二第1-3节{1-17周}，星期三第1-2节{1-17周}</v>
      </c>
      <c r="E171" s="7" t="str">
        <f>"余喜生"</f>
        <v>余喜生</v>
      </c>
      <c r="F171" s="7" t="str">
        <f>"黄钰云"</f>
        <v>黄钰云</v>
      </c>
      <c r="G171" s="7" t="str">
        <f>"1221201Z5002"</f>
        <v>1221201Z5002</v>
      </c>
    </row>
    <row r="172" ht="24" spans="1:7">
      <c r="A172" s="7">
        <v>170</v>
      </c>
      <c r="B172" s="7" t="str">
        <f t="shared" si="8"/>
        <v>数学学院</v>
      </c>
      <c r="C172" s="7" t="str">
        <f>"线性代数"</f>
        <v>线性代数</v>
      </c>
      <c r="D172" s="7" t="str">
        <f>"星期四第10-12节{1-17周}"</f>
        <v>星期四第10-12节{1-17周}</v>
      </c>
      <c r="E172" s="7" t="str">
        <f>"樊胜"</f>
        <v>樊胜</v>
      </c>
      <c r="F172" s="7" t="str">
        <f>"徐敏"</f>
        <v>徐敏</v>
      </c>
      <c r="G172" s="7" t="str">
        <f>"123070100005"</f>
        <v>123070100005</v>
      </c>
    </row>
    <row r="173" ht="24" spans="1:7">
      <c r="A173" s="7">
        <v>171</v>
      </c>
      <c r="B173" s="7" t="str">
        <f t="shared" si="8"/>
        <v>数学学院</v>
      </c>
      <c r="C173" s="7" t="str">
        <f>"线性代数"</f>
        <v>线性代数</v>
      </c>
      <c r="D173" s="7" t="str">
        <f>"星期三第10-12节{1-17周}"</f>
        <v>星期三第10-12节{1-17周}</v>
      </c>
      <c r="E173" s="7" t="str">
        <f>"樊胜"</f>
        <v>樊胜</v>
      </c>
      <c r="F173" s="7" t="str">
        <f>"杜星竹"</f>
        <v>杜星竹</v>
      </c>
      <c r="G173" s="7" t="str">
        <f>"224070100029"</f>
        <v>224070100029</v>
      </c>
    </row>
    <row r="174" ht="24" spans="1:7">
      <c r="A174" s="7">
        <v>172</v>
      </c>
      <c r="B174" s="7" t="str">
        <f t="shared" si="8"/>
        <v>数学学院</v>
      </c>
      <c r="C174" s="7" t="str">
        <f>"线性代数"</f>
        <v>线性代数</v>
      </c>
      <c r="D174" s="7" t="str">
        <f>"星期三第5-7节{1-17周}"</f>
        <v>星期三第5-7节{1-17周}</v>
      </c>
      <c r="E174" s="7" t="str">
        <f>"樊胜"</f>
        <v>樊胜</v>
      </c>
      <c r="F174" s="7" t="str">
        <f>"王逸豪"</f>
        <v>王逸豪</v>
      </c>
      <c r="G174" s="7" t="str">
        <f>"2230202Z1016"</f>
        <v>2230202Z1016</v>
      </c>
    </row>
    <row r="175" ht="24" spans="1:7">
      <c r="A175" s="7">
        <v>173</v>
      </c>
      <c r="B175" s="7" t="str">
        <f t="shared" si="8"/>
        <v>数学学院</v>
      </c>
      <c r="C175" s="7" t="str">
        <f>"线性代数"</f>
        <v>线性代数</v>
      </c>
      <c r="D175" s="7" t="str">
        <f>"星期二第10-12节{1-17周}"</f>
        <v>星期二第10-12节{1-17周}</v>
      </c>
      <c r="E175" s="7" t="str">
        <f>"樊胜"</f>
        <v>樊胜</v>
      </c>
      <c r="F175" s="7" t="str">
        <f>"张俊"</f>
        <v>张俊</v>
      </c>
      <c r="G175" s="7" t="str">
        <f>"2230202Z2002"</f>
        <v>2230202Z2002</v>
      </c>
    </row>
    <row r="176" ht="36" spans="1:7">
      <c r="A176" s="7">
        <v>174</v>
      </c>
      <c r="B176" s="7" t="str">
        <f t="shared" si="8"/>
        <v>数学学院</v>
      </c>
      <c r="C176" s="7" t="str">
        <f>"高等数学Ⅰ"</f>
        <v>高等数学Ⅰ</v>
      </c>
      <c r="D176" s="7" t="str">
        <f>"星期二第3-4节{1-17周}，星期四第6-8节{1-17周}"</f>
        <v>星期二第3-4节{1-17周}，星期四第6-8节{1-17周}</v>
      </c>
      <c r="E176" s="7" t="str">
        <f>"代宏霞"</f>
        <v>代宏霞</v>
      </c>
      <c r="F176" s="7" t="str">
        <f>"张丹"</f>
        <v>张丹</v>
      </c>
      <c r="G176" s="7" t="str">
        <f>"223070100011"</f>
        <v>223070100011</v>
      </c>
    </row>
    <row r="177" ht="36" spans="1:7">
      <c r="A177" s="7">
        <v>175</v>
      </c>
      <c r="B177" s="7" t="str">
        <f t="shared" si="8"/>
        <v>数学学院</v>
      </c>
      <c r="C177" s="7" t="str">
        <f>"高等数学Ⅰ"</f>
        <v>高等数学Ⅰ</v>
      </c>
      <c r="D177" s="7" t="str">
        <f>"星期二第1-2节{1-17周}，星期四第1-3节{1-17周}"</f>
        <v>星期二第1-2节{1-17周}，星期四第1-3节{1-17周}</v>
      </c>
      <c r="E177" s="7" t="str">
        <f>"代宏霞"</f>
        <v>代宏霞</v>
      </c>
      <c r="F177" s="7" t="str">
        <f>"邓佳杰"</f>
        <v>邓佳杰</v>
      </c>
      <c r="G177" s="7" t="str">
        <f>"2230202Z1023"</f>
        <v>2230202Z1023</v>
      </c>
    </row>
    <row r="178" ht="36" spans="1:7">
      <c r="A178" s="7">
        <v>176</v>
      </c>
      <c r="B178" s="7" t="str">
        <f t="shared" si="8"/>
        <v>数学学院</v>
      </c>
      <c r="C178" s="7" t="str">
        <f>"数学分析Ⅰ"</f>
        <v>数学分析Ⅰ</v>
      </c>
      <c r="D178" s="7" t="str">
        <f>"星期二第1-3节{1-17周}，星期四第1-3节{1-17周}"</f>
        <v>星期二第1-3节{1-17周}，星期四第1-3节{1-17周}</v>
      </c>
      <c r="E178" s="7" t="str">
        <f>"崔红卫"</f>
        <v>崔红卫</v>
      </c>
      <c r="F178" s="7" t="str">
        <f>"段志祯"</f>
        <v>段志祯</v>
      </c>
      <c r="G178" s="7" t="str">
        <f>"2240202Z1006"</f>
        <v>2240202Z1006</v>
      </c>
    </row>
    <row r="179" ht="36" spans="1:7">
      <c r="A179" s="7">
        <v>177</v>
      </c>
      <c r="B179" s="7" t="str">
        <f t="shared" si="8"/>
        <v>数学学院</v>
      </c>
      <c r="C179" s="7" t="str">
        <f>"高等数学Ⅰ"</f>
        <v>高等数学Ⅰ</v>
      </c>
      <c r="D179" s="7" t="str">
        <f>"星期二第3-4节{1-17周}，星期四第5-7节{1-17周}"</f>
        <v>星期二第3-4节{1-17周}，星期四第5-7节{1-17周}</v>
      </c>
      <c r="E179" s="7" t="str">
        <f>"刘彩平"</f>
        <v>刘彩平</v>
      </c>
      <c r="F179" s="7" t="str">
        <f>"黄沁缘"</f>
        <v>黄沁缘</v>
      </c>
      <c r="G179" s="7" t="str">
        <f>"123020204012"</f>
        <v>123020204012</v>
      </c>
    </row>
    <row r="180" ht="36" spans="1:7">
      <c r="A180" s="7">
        <v>178</v>
      </c>
      <c r="B180" s="7" t="str">
        <f t="shared" si="8"/>
        <v>数学学院</v>
      </c>
      <c r="C180" s="7" t="str">
        <f>"高等数学Ⅰ"</f>
        <v>高等数学Ⅰ</v>
      </c>
      <c r="D180" s="7" t="str">
        <f>"星期二第1-2节{1-17周}，星期四第1-3节{1-17周}"</f>
        <v>星期二第1-2节{1-17周}，星期四第1-3节{1-17周}</v>
      </c>
      <c r="E180" s="7" t="str">
        <f>"刘彩平"</f>
        <v>刘彩平</v>
      </c>
      <c r="F180" s="7" t="str">
        <f>"宋缪阳"</f>
        <v>宋缪阳</v>
      </c>
      <c r="G180" s="7" t="str">
        <f>"2240202Z1025"</f>
        <v>2240202Z1025</v>
      </c>
    </row>
    <row r="181" ht="24" spans="1:7">
      <c r="A181" s="7">
        <v>179</v>
      </c>
      <c r="B181" s="7" t="str">
        <f t="shared" si="8"/>
        <v>数学学院</v>
      </c>
      <c r="C181" s="7" t="str">
        <f>"线性代数"</f>
        <v>线性代数</v>
      </c>
      <c r="D181" s="7" t="str">
        <f>"星期四第1-3节{1-17周}"</f>
        <v>星期四第1-3节{1-17周}</v>
      </c>
      <c r="E181" s="7" t="str">
        <f>"李静"</f>
        <v>李静</v>
      </c>
      <c r="F181" s="7" t="str">
        <f>"毕快"</f>
        <v>毕快</v>
      </c>
      <c r="G181" s="7" t="str">
        <f>"123070100007"</f>
        <v>123070100007</v>
      </c>
    </row>
    <row r="182" ht="24" spans="1:7">
      <c r="A182" s="7">
        <v>180</v>
      </c>
      <c r="B182" s="7" t="str">
        <f t="shared" si="8"/>
        <v>数学学院</v>
      </c>
      <c r="C182" s="7" t="str">
        <f>"线性代数"</f>
        <v>线性代数</v>
      </c>
      <c r="D182" s="7" t="str">
        <f>"星期二第10-12节{1-17周}"</f>
        <v>星期二第10-12节{1-17周}</v>
      </c>
      <c r="E182" s="7" t="str">
        <f>"李静"</f>
        <v>李静</v>
      </c>
      <c r="F182" s="7" t="str">
        <f>"姚治佳"</f>
        <v>姚治佳</v>
      </c>
      <c r="G182" s="7" t="str">
        <f>"1241201Z5009"</f>
        <v>1241201Z5009</v>
      </c>
    </row>
    <row r="183" ht="24" spans="1:7">
      <c r="A183" s="7">
        <v>181</v>
      </c>
      <c r="B183" s="7" t="str">
        <f t="shared" si="8"/>
        <v>数学学院</v>
      </c>
      <c r="C183" s="7" t="str">
        <f>"线性代数"</f>
        <v>线性代数</v>
      </c>
      <c r="D183" s="7" t="str">
        <f>"星期三第1-3节{1-17周}"</f>
        <v>星期三第1-3节{1-17周}</v>
      </c>
      <c r="E183" s="7" t="str">
        <f>"李静"</f>
        <v>李静</v>
      </c>
      <c r="F183" s="7" t="str">
        <f>"陈治民"</f>
        <v>陈治民</v>
      </c>
      <c r="G183" s="7" t="str">
        <f>"1241201Z5001"</f>
        <v>1241201Z5001</v>
      </c>
    </row>
    <row r="184" ht="24" spans="1:7">
      <c r="A184" s="7">
        <v>182</v>
      </c>
      <c r="B184" s="7" t="str">
        <f t="shared" si="8"/>
        <v>数学学院</v>
      </c>
      <c r="C184" s="7" t="str">
        <f>"线性代数"</f>
        <v>线性代数</v>
      </c>
      <c r="D184" s="7" t="str">
        <f>"星期四第5-7节{1-17周}"</f>
        <v>星期四第5-7节{1-17周}</v>
      </c>
      <c r="E184" s="7" t="str">
        <f>"李静"</f>
        <v>李静</v>
      </c>
      <c r="F184" s="7" t="str">
        <f>"李姚"</f>
        <v>李姚</v>
      </c>
      <c r="G184" s="7" t="str">
        <f>"223070100007"</f>
        <v>223070100007</v>
      </c>
    </row>
    <row r="185" ht="36" spans="1:7">
      <c r="A185" s="7">
        <v>183</v>
      </c>
      <c r="B185" s="7" t="str">
        <f t="shared" si="8"/>
        <v>数学学院</v>
      </c>
      <c r="C185" s="7" t="str">
        <f>"高等数学Ⅰ"</f>
        <v>高等数学Ⅰ</v>
      </c>
      <c r="D185" s="7" t="str">
        <f>"星期二第3-4节{1-17周}，星期四第5-7节{1-17周}"</f>
        <v>星期二第3-4节{1-17周}，星期四第5-7节{1-17周}</v>
      </c>
      <c r="E185" s="7" t="str">
        <f>"戴岱"</f>
        <v>戴岱</v>
      </c>
      <c r="F185" s="7" t="str">
        <f>"余颖"</f>
        <v>余颖</v>
      </c>
      <c r="G185" s="7" t="str">
        <f>"2230202Z1024"</f>
        <v>2230202Z1024</v>
      </c>
    </row>
    <row r="186" ht="36" spans="1:7">
      <c r="A186" s="7">
        <v>184</v>
      </c>
      <c r="B186" s="7" t="str">
        <f t="shared" si="8"/>
        <v>数学学院</v>
      </c>
      <c r="C186" s="7" t="str">
        <f>"高等数学Ⅰ"</f>
        <v>高等数学Ⅰ</v>
      </c>
      <c r="D186" s="7" t="str">
        <f>"星期二第1-2节{1-17周}，星期四第1-3节{1-17周}"</f>
        <v>星期二第1-2节{1-17周}，星期四第1-3节{1-17周}</v>
      </c>
      <c r="E186" s="7" t="str">
        <f>"戴岱"</f>
        <v>戴岱</v>
      </c>
      <c r="F186" s="7" t="str">
        <f>"侯丽"</f>
        <v>侯丽</v>
      </c>
      <c r="G186" s="7" t="str">
        <f>"1230202Z1002"</f>
        <v>1230202Z1002</v>
      </c>
    </row>
    <row r="187" ht="24" spans="1:7">
      <c r="A187" s="7">
        <v>185</v>
      </c>
      <c r="B187" s="7" t="str">
        <f t="shared" si="8"/>
        <v>数学学院</v>
      </c>
      <c r="C187" s="7" t="str">
        <f>"随机过程"</f>
        <v>随机过程</v>
      </c>
      <c r="D187" s="7" t="str">
        <f>"星期二第1-3节{1-17周}"</f>
        <v>星期二第1-3节{1-17周}</v>
      </c>
      <c r="E187" s="7" t="str">
        <f>"骆川义"</f>
        <v>骆川义</v>
      </c>
      <c r="F187" s="7" t="str">
        <f>"朱珍婷"</f>
        <v>朱珍婷</v>
      </c>
      <c r="G187" s="7" t="str">
        <f>"2240202Z1013"</f>
        <v>2240202Z1013</v>
      </c>
    </row>
    <row r="188" ht="24" spans="1:7">
      <c r="A188" s="7">
        <v>186</v>
      </c>
      <c r="B188" s="7" t="str">
        <f t="shared" si="8"/>
        <v>数学学院</v>
      </c>
      <c r="C188" s="7" t="str">
        <f>"随机过程"</f>
        <v>随机过程</v>
      </c>
      <c r="D188" s="7" t="str">
        <f>"星期四第5-7节{1-17周}"</f>
        <v>星期四第5-7节{1-17周}</v>
      </c>
      <c r="E188" s="7" t="str">
        <f>"骆川义"</f>
        <v>骆川义</v>
      </c>
      <c r="F188" s="7" t="str">
        <f>"胡越"</f>
        <v>胡越</v>
      </c>
      <c r="G188" s="7" t="str">
        <f>"1211201Z5008"</f>
        <v>1211201Z5008</v>
      </c>
    </row>
    <row r="189" ht="24" spans="1:7">
      <c r="A189" s="7">
        <v>187</v>
      </c>
      <c r="B189" s="7" t="str">
        <f t="shared" si="8"/>
        <v>数学学院</v>
      </c>
      <c r="C189" s="7" t="str">
        <f>"随机过程"</f>
        <v>随机过程</v>
      </c>
      <c r="D189" s="7" t="str">
        <f>"星期二第10-12节{1-17周}"</f>
        <v>星期二第10-12节{1-17周}</v>
      </c>
      <c r="E189" s="7" t="str">
        <f>"骆川义"</f>
        <v>骆川义</v>
      </c>
      <c r="F189" s="7" t="str">
        <f>"郑茜"</f>
        <v>郑茜</v>
      </c>
      <c r="G189" s="7" t="str">
        <f>"121120100001"</f>
        <v>121120100001</v>
      </c>
    </row>
    <row r="190" ht="36" spans="1:7">
      <c r="A190" s="7">
        <v>188</v>
      </c>
      <c r="B190" s="7" t="str">
        <f t="shared" si="8"/>
        <v>数学学院</v>
      </c>
      <c r="C190" s="7" t="str">
        <f>"概率论与数理统计A"</f>
        <v>概率论与数理统计A</v>
      </c>
      <c r="D190" s="7" t="str">
        <f>"星期一第8-9节{1-17周}，星期三第10-12节{1-17周}"</f>
        <v>星期一第8-9节{1-17周}，星期三第10-12节{1-17周}</v>
      </c>
      <c r="E190" s="7" t="str">
        <f>"赖绍永"</f>
        <v>赖绍永</v>
      </c>
      <c r="F190" s="7" t="str">
        <f>"陈良莉"</f>
        <v>陈良莉</v>
      </c>
      <c r="G190" s="7" t="str">
        <f>"124070100002"</f>
        <v>124070100002</v>
      </c>
    </row>
    <row r="191" ht="48" spans="1:7">
      <c r="A191" s="7">
        <v>189</v>
      </c>
      <c r="B191" s="7" t="str">
        <f t="shared" si="8"/>
        <v>数学学院</v>
      </c>
      <c r="C191" s="7" t="str">
        <f>"概率论与数理统计A"</f>
        <v>概率论与数理统计A</v>
      </c>
      <c r="D191" s="7" t="str">
        <f>"星期一第10-11节{1-17周}，星期二第10-12节{1-17周}"</f>
        <v>星期一第10-11节{1-17周}，星期二第10-12节{1-17周}</v>
      </c>
      <c r="E191" s="7" t="str">
        <f>"赖绍永"</f>
        <v>赖绍永</v>
      </c>
      <c r="F191" s="7" t="str">
        <f>"马雪珂"</f>
        <v>马雪珂</v>
      </c>
      <c r="G191" s="7" t="str">
        <f>"1240202Z1002"</f>
        <v>1240202Z1002</v>
      </c>
    </row>
    <row r="192" ht="24" spans="1:7">
      <c r="A192" s="7">
        <v>190</v>
      </c>
      <c r="B192" s="7" t="str">
        <f t="shared" si="8"/>
        <v>数学学院</v>
      </c>
      <c r="C192" s="7" t="str">
        <f>"一元微积分"</f>
        <v>一元微积分</v>
      </c>
      <c r="D192" s="7" t="str">
        <f>"星期二第1-3节{1-17周}"</f>
        <v>星期二第1-3节{1-17周}</v>
      </c>
      <c r="E192" s="7" t="str">
        <f>"朱文莉"</f>
        <v>朱文莉</v>
      </c>
      <c r="F192" s="7" t="str">
        <f>"王铭钰"</f>
        <v>王铭钰</v>
      </c>
      <c r="G192" s="7" t="str">
        <f>"223070100026"</f>
        <v>223070100026</v>
      </c>
    </row>
    <row r="193" ht="36" spans="1:7">
      <c r="A193" s="7">
        <v>191</v>
      </c>
      <c r="B193" s="7" t="str">
        <f t="shared" si="8"/>
        <v>数学学院</v>
      </c>
      <c r="C193" s="7" t="str">
        <f>"概率论（理科）"</f>
        <v>概率论（理科）</v>
      </c>
      <c r="D193" s="7" t="str">
        <f>"星期一第8-9节{1-17周}，星期五第6-7节{1-17周}"</f>
        <v>星期一第8-9节{1-17周}，星期五第6-7节{1-17周}</v>
      </c>
      <c r="E193" s="7" t="str">
        <f>"马捷"</f>
        <v>马捷</v>
      </c>
      <c r="F193" s="7" t="str">
        <f>"黄红振"</f>
        <v>黄红振</v>
      </c>
      <c r="G193" s="7" t="str">
        <f>"1220202Z1003"</f>
        <v>1220202Z1003</v>
      </c>
    </row>
    <row r="194" ht="36" spans="1:7">
      <c r="A194" s="7">
        <v>192</v>
      </c>
      <c r="B194" s="7" t="str">
        <f t="shared" si="8"/>
        <v>数学学院</v>
      </c>
      <c r="C194" s="7" t="str">
        <f>"概率论（理科）"</f>
        <v>概率论（理科）</v>
      </c>
      <c r="D194" s="7" t="str">
        <f>"星期一第3-4节{1-17周}，星期五第8-9节{1-17周}"</f>
        <v>星期一第3-4节{1-17周}，星期五第8-9节{1-17周}</v>
      </c>
      <c r="E194" s="7" t="str">
        <f>"马捷"</f>
        <v>马捷</v>
      </c>
      <c r="F194" s="7" t="str">
        <f>"刘畅"</f>
        <v>刘畅</v>
      </c>
      <c r="G194" s="7" t="str">
        <f>"224070100010"</f>
        <v>224070100010</v>
      </c>
    </row>
    <row r="195" ht="36" spans="1:7">
      <c r="A195" s="7">
        <v>193</v>
      </c>
      <c r="B195" s="7" t="str">
        <f t="shared" si="8"/>
        <v>数学学院</v>
      </c>
      <c r="C195" s="7" t="str">
        <f>"概率论与数理统计A"</f>
        <v>概率论与数理统计A</v>
      </c>
      <c r="D195" s="7" t="str">
        <f>"星期二第3-4节{1-17周}，星期四第5-7节{1-17周}"</f>
        <v>星期二第3-4节{1-17周}，星期四第5-7节{1-17周}</v>
      </c>
      <c r="E195" s="7" t="str">
        <f>"黄文毅"</f>
        <v>黄文毅</v>
      </c>
      <c r="F195" s="7" t="str">
        <f>"孙溶镁"</f>
        <v>孙溶镁</v>
      </c>
      <c r="G195" s="7" t="str">
        <f>"1220202Z1009"</f>
        <v>1220202Z1009</v>
      </c>
    </row>
    <row r="196" ht="36" spans="1:7">
      <c r="A196" s="7">
        <v>194</v>
      </c>
      <c r="B196" s="7" t="str">
        <f t="shared" si="8"/>
        <v>数学学院</v>
      </c>
      <c r="C196" s="7" t="str">
        <f>"数学分析Ⅰ"</f>
        <v>数学分析Ⅰ</v>
      </c>
      <c r="D196" s="7" t="str">
        <f>"星期二第1-3节{1-17周}，星期四第1-3节{1-17周}"</f>
        <v>星期二第1-3节{1-17周}，星期四第1-3节{1-17周}</v>
      </c>
      <c r="E196" s="7" t="str">
        <f>"陈小平"</f>
        <v>陈小平</v>
      </c>
      <c r="F196" s="7" t="str">
        <f>"张涵"</f>
        <v>张涵</v>
      </c>
      <c r="G196" s="7" t="str">
        <f>"1210202Z2003"</f>
        <v>1210202Z2003</v>
      </c>
    </row>
    <row r="197" ht="48" spans="1:7">
      <c r="A197" s="7">
        <v>195</v>
      </c>
      <c r="B197" s="7" t="str">
        <f t="shared" si="8"/>
        <v>数学学院</v>
      </c>
      <c r="C197" s="7" t="str">
        <f>"数学分析Ⅰ"</f>
        <v>数学分析Ⅰ</v>
      </c>
      <c r="D197" s="7" t="str">
        <f>"星期二第10-12节{1-17周}，星期四第10-12节{1-17周}"</f>
        <v>星期二第10-12节{1-17周}，星期四第10-12节{1-17周}</v>
      </c>
      <c r="E197" s="7" t="str">
        <f>"陈小平"</f>
        <v>陈小平</v>
      </c>
      <c r="F197" s="7" t="str">
        <f>"乐海波"</f>
        <v>乐海波</v>
      </c>
      <c r="G197" s="7" t="str">
        <f>"119020204017"</f>
        <v>119020204017</v>
      </c>
    </row>
    <row r="198" ht="36" spans="1:7">
      <c r="A198" s="7">
        <v>196</v>
      </c>
      <c r="B198" s="7" t="str">
        <f t="shared" si="8"/>
        <v>数学学院</v>
      </c>
      <c r="C198" s="7" t="str">
        <f>"概率论与数理统计A"</f>
        <v>概率论与数理统计A</v>
      </c>
      <c r="D198" s="7" t="str">
        <f>"星期二第1-3节{1-17周}，星期四第1-2节{1-17周}"</f>
        <v>星期二第1-3节{1-17周}，星期四第1-2节{1-17周}</v>
      </c>
      <c r="E198" s="7" t="str">
        <f>"李绍文"</f>
        <v>李绍文</v>
      </c>
      <c r="F198" s="7" t="str">
        <f>"马钰慧"</f>
        <v>马钰慧</v>
      </c>
      <c r="G198" s="7" t="str">
        <f>"2240202Z1002"</f>
        <v>2240202Z1002</v>
      </c>
    </row>
    <row r="199" ht="36" spans="1:7">
      <c r="A199" s="7">
        <v>197</v>
      </c>
      <c r="B199" s="7" t="str">
        <f t="shared" si="8"/>
        <v>数学学院</v>
      </c>
      <c r="C199" s="7" t="str">
        <f>"概率论与数理统计A"</f>
        <v>概率论与数理统计A</v>
      </c>
      <c r="D199" s="7" t="str">
        <f>"星期三第1-3节{1-17周}，星期四第6-7节{1-17周}"</f>
        <v>星期三第1-3节{1-17周}，星期四第6-7节{1-17周}</v>
      </c>
      <c r="E199" s="7" t="str">
        <f>"李绍文"</f>
        <v>李绍文</v>
      </c>
      <c r="F199" s="7" t="str">
        <f>"郑群川"</f>
        <v>郑群川</v>
      </c>
      <c r="G199" s="7" t="str">
        <f>"224070100018"</f>
        <v>224070100018</v>
      </c>
    </row>
    <row r="200" ht="36" spans="1:7">
      <c r="A200" s="7">
        <v>198</v>
      </c>
      <c r="B200" s="7" t="str">
        <f t="shared" si="8"/>
        <v>数学学院</v>
      </c>
      <c r="C200" s="7" t="str">
        <f>"概率论与数理统计A"</f>
        <v>概率论与数理统计A</v>
      </c>
      <c r="D200" s="7" t="str">
        <f>"星期二第10-12节{1-17周}，星期四第3-4节{1-17周}"</f>
        <v>星期二第10-12节{1-17周}，星期四第3-4节{1-17周}</v>
      </c>
      <c r="E200" s="7" t="str">
        <f>"李绍文"</f>
        <v>李绍文</v>
      </c>
      <c r="F200" s="7" t="str">
        <f>"杨传旺"</f>
        <v>杨传旺</v>
      </c>
      <c r="G200" s="7" t="str">
        <f>"2230202Z1006"</f>
        <v>2230202Z1006</v>
      </c>
    </row>
    <row r="201" ht="60" spans="1:7">
      <c r="A201" s="7">
        <v>199</v>
      </c>
      <c r="B201" s="7" t="str">
        <f t="shared" si="8"/>
        <v>数学学院</v>
      </c>
      <c r="C201" s="7" t="str">
        <f>"数学分析Ⅲ（理科）"</f>
        <v>数学分析Ⅲ（理科）</v>
      </c>
      <c r="D201" s="7" t="str">
        <f>"星期一第1-2节{1-17周}，星期四第5-6节{1-17周}，星期四第7-7节{1-17周}"</f>
        <v>星期一第1-2节{1-17周}，星期四第5-6节{1-17周}，星期四第7-7节{1-17周}</v>
      </c>
      <c r="E201" s="7" t="str">
        <f>"方敏"</f>
        <v>方敏</v>
      </c>
      <c r="F201" s="7" t="str">
        <f>"王丽媛"</f>
        <v>王丽媛</v>
      </c>
      <c r="G201" s="7" t="str">
        <f>"1220202Z1008"</f>
        <v>1220202Z1008</v>
      </c>
    </row>
    <row r="202" ht="36" spans="1:7">
      <c r="A202" s="7">
        <v>200</v>
      </c>
      <c r="B202" s="7" t="str">
        <f t="shared" si="8"/>
        <v>数学学院</v>
      </c>
      <c r="C202" s="7" t="str">
        <f>"数学分析Ⅲ（理科）"</f>
        <v>数学分析Ⅲ（理科）</v>
      </c>
      <c r="D202" s="7" t="str">
        <f>"星期一第8-9节{1-17周}，星期四第1-3节{1-17周}"</f>
        <v>星期一第8-9节{1-17周}，星期四第1-3节{1-17周}</v>
      </c>
      <c r="E202" s="7" t="str">
        <f>"方敏"</f>
        <v>方敏</v>
      </c>
      <c r="F202" s="7" t="str">
        <f>"谌浩航"</f>
        <v>谌浩航</v>
      </c>
      <c r="G202" s="7" t="str">
        <f>"223070100020"</f>
        <v>223070100020</v>
      </c>
    </row>
    <row r="203" ht="24" spans="1:7">
      <c r="A203" s="7">
        <v>201</v>
      </c>
      <c r="B203" s="7" t="str">
        <f t="shared" si="8"/>
        <v>数学学院</v>
      </c>
      <c r="C203" s="7" t="str">
        <f>"运筹学"</f>
        <v>运筹学</v>
      </c>
      <c r="D203" s="7" t="str">
        <f>"星期三第5-7节{1-17周}"</f>
        <v>星期三第5-7节{1-17周}</v>
      </c>
      <c r="E203" s="7" t="str">
        <f>"张文燕"</f>
        <v>张文燕</v>
      </c>
      <c r="F203" s="7" t="str">
        <f>"曹晓旭"</f>
        <v>曹晓旭</v>
      </c>
      <c r="G203" s="7" t="str">
        <f>"224070100019"</f>
        <v>224070100019</v>
      </c>
    </row>
    <row r="204" ht="24" spans="1:7">
      <c r="A204" s="7">
        <v>202</v>
      </c>
      <c r="B204" s="7" t="str">
        <f t="shared" si="8"/>
        <v>数学学院</v>
      </c>
      <c r="C204" s="7" t="str">
        <f>"运筹学"</f>
        <v>运筹学</v>
      </c>
      <c r="D204" s="7" t="str">
        <f>"星期一第1-3节{1-17周}"</f>
        <v>星期一第1-3节{1-17周}</v>
      </c>
      <c r="E204" s="7" t="str">
        <f>"张文燕"</f>
        <v>张文燕</v>
      </c>
      <c r="F204" s="7" t="str">
        <f>"史雨欣"</f>
        <v>史雨欣</v>
      </c>
      <c r="G204" s="7" t="str">
        <f>"224071400016"</f>
        <v>224071400016</v>
      </c>
    </row>
    <row r="205" ht="24" spans="1:7">
      <c r="A205" s="7">
        <v>203</v>
      </c>
      <c r="B205" s="7" t="str">
        <f t="shared" si="8"/>
        <v>数学学院</v>
      </c>
      <c r="C205" s="7" t="str">
        <f>"运筹学"</f>
        <v>运筹学</v>
      </c>
      <c r="D205" s="7" t="str">
        <f>"星期三第1-3节{1-17周}"</f>
        <v>星期三第1-3节{1-17周}</v>
      </c>
      <c r="E205" s="7" t="str">
        <f>"张文燕"</f>
        <v>张文燕</v>
      </c>
      <c r="F205" s="7" t="str">
        <f>"李玲"</f>
        <v>李玲</v>
      </c>
      <c r="G205" s="7" t="str">
        <f>"122120100004"</f>
        <v>122120100004</v>
      </c>
    </row>
    <row r="206" ht="24" spans="1:7">
      <c r="A206" s="7">
        <v>204</v>
      </c>
      <c r="B206" s="7" t="str">
        <f t="shared" si="8"/>
        <v>数学学院</v>
      </c>
      <c r="C206" s="7" t="str">
        <f>"运筹学"</f>
        <v>运筹学</v>
      </c>
      <c r="D206" s="7" t="str">
        <f>"星期一第10-12节{1-17周}"</f>
        <v>星期一第10-12节{1-17周}</v>
      </c>
      <c r="E206" s="7" t="str">
        <f>"张文燕"</f>
        <v>张文燕</v>
      </c>
      <c r="F206" s="7" t="str">
        <f>"王智宇"</f>
        <v>王智宇</v>
      </c>
      <c r="G206" s="7" t="str">
        <f>"1220202Z1007"</f>
        <v>1220202Z1007</v>
      </c>
    </row>
    <row r="207" ht="36" spans="1:7">
      <c r="A207" s="7">
        <v>205</v>
      </c>
      <c r="B207" s="7" t="str">
        <f t="shared" si="8"/>
        <v>数学学院</v>
      </c>
      <c r="C207" s="7" t="str">
        <f>"高等代数Ⅰ（理科）"</f>
        <v>高等代数Ⅰ（理科）</v>
      </c>
      <c r="D207" s="7" t="str">
        <f>"星期一第5-7节{1-17周}，星期三第5-6节{1-17周}"</f>
        <v>星期一第5-7节{1-17周}，星期三第5-6节{1-17周}</v>
      </c>
      <c r="E207" s="7" t="str">
        <f>"朱胜坤"</f>
        <v>朱胜坤</v>
      </c>
      <c r="F207" s="7" t="str">
        <f>"朱韬承"</f>
        <v>朱韬承</v>
      </c>
      <c r="G207" s="7" t="str">
        <f>"224070100022"</f>
        <v>224070100022</v>
      </c>
    </row>
    <row r="208" ht="24" spans="1:7">
      <c r="A208" s="7">
        <v>206</v>
      </c>
      <c r="B208" s="7" t="str">
        <f t="shared" si="8"/>
        <v>数学学院</v>
      </c>
      <c r="C208" s="7" t="str">
        <f>"优化理论与应用"</f>
        <v>优化理论与应用</v>
      </c>
      <c r="D208" s="7" t="str">
        <f>"星期三第10-12节{1-17周}"</f>
        <v>星期三第10-12节{1-17周}</v>
      </c>
      <c r="E208" s="7" t="str">
        <f>"朱胜坤"</f>
        <v>朱胜坤</v>
      </c>
      <c r="F208" s="7" t="str">
        <f>"王悦茹"</f>
        <v>王悦茹</v>
      </c>
      <c r="G208" s="7" t="str">
        <f>"224070100020"</f>
        <v>224070100020</v>
      </c>
    </row>
    <row r="209" ht="36" spans="1:7">
      <c r="A209" s="7">
        <v>207</v>
      </c>
      <c r="B209" s="7" t="str">
        <f t="shared" si="8"/>
        <v>数学学院</v>
      </c>
      <c r="C209" s="7" t="str">
        <f>"高等代数Ⅰ（理科）"</f>
        <v>高等代数Ⅰ（理科）</v>
      </c>
      <c r="D209" s="7" t="str">
        <f>"星期一第10-12节{1-17周}，星期二第3-4节{1-17周}"</f>
        <v>星期一第10-12节{1-17周}，星期二第3-4节{1-17周}</v>
      </c>
      <c r="E209" s="7" t="str">
        <f>"朱胜坤"</f>
        <v>朱胜坤</v>
      </c>
      <c r="F209" s="7" t="str">
        <f>"贾思琪"</f>
        <v>贾思琪</v>
      </c>
      <c r="G209" s="7" t="str">
        <f>"223070100001"</f>
        <v>223070100001</v>
      </c>
    </row>
    <row r="210" spans="1:7">
      <c r="A210" s="7">
        <v>208</v>
      </c>
      <c r="B210" s="7" t="str">
        <f t="shared" si="8"/>
        <v>数学学院</v>
      </c>
      <c r="C210" s="7" t="str">
        <f>"线性代数"</f>
        <v>线性代数</v>
      </c>
      <c r="D210" s="7" t="str">
        <f>"数字学分课程"</f>
        <v>数字学分课程</v>
      </c>
      <c r="E210" s="7" t="str">
        <f>"韩本三"</f>
        <v>韩本三</v>
      </c>
      <c r="F210" s="7" t="str">
        <f>"朱健锋"</f>
        <v>朱健锋</v>
      </c>
      <c r="G210" s="7" t="str">
        <f>"224020209005"</f>
        <v>224020209005</v>
      </c>
    </row>
    <row r="211" ht="36" spans="1:7">
      <c r="A211" s="7">
        <v>209</v>
      </c>
      <c r="B211" s="7" t="str">
        <f t="shared" si="8"/>
        <v>数学学院</v>
      </c>
      <c r="C211" s="7" t="str">
        <f>"高等代数Ⅰ"</f>
        <v>高等代数Ⅰ</v>
      </c>
      <c r="D211" s="7" t="str">
        <f>"星期二第3-4节{1-17周}，星期四第3-4节{1-17周}"</f>
        <v>星期二第3-4节{1-17周}，星期四第3-4节{1-17周}</v>
      </c>
      <c r="E211" s="7" t="str">
        <f>"韩本三"</f>
        <v>韩本三</v>
      </c>
      <c r="F211" s="7" t="str">
        <f>"刘琼莲"</f>
        <v>刘琼莲</v>
      </c>
      <c r="G211" s="7" t="str">
        <f>"2230202Z1026"</f>
        <v>2230202Z1026</v>
      </c>
    </row>
    <row r="212" ht="36" spans="1:7">
      <c r="A212" s="7">
        <v>210</v>
      </c>
      <c r="B212" s="7" t="str">
        <f t="shared" si="8"/>
        <v>数学学院</v>
      </c>
      <c r="C212" s="7" t="str">
        <f>"高等代数Ⅰ"</f>
        <v>高等代数Ⅰ</v>
      </c>
      <c r="D212" s="7" t="str">
        <f>"星期二第1-2节{1-17周}，星期四第1-2节{1-17周}"</f>
        <v>星期二第1-2节{1-17周}，星期四第1-2节{1-17周}</v>
      </c>
      <c r="E212" s="7" t="str">
        <f>"韩本三"</f>
        <v>韩本三</v>
      </c>
      <c r="F212" s="7" t="str">
        <f>"刘艳丽"</f>
        <v>刘艳丽</v>
      </c>
      <c r="G212" s="7" t="str">
        <f>"2230202Z1005"</f>
        <v>2230202Z1005</v>
      </c>
    </row>
    <row r="213" ht="36" spans="1:7">
      <c r="A213" s="7">
        <v>211</v>
      </c>
      <c r="B213" s="7" t="str">
        <f t="shared" si="8"/>
        <v>数学学院</v>
      </c>
      <c r="C213" s="7" t="str">
        <f>"概率论（理科）"</f>
        <v>概率论（理科）</v>
      </c>
      <c r="D213" s="7" t="str">
        <f>"星期一第8-9节{1-17周}，星期三第1-2节{1-17周}"</f>
        <v>星期一第8-9节{1-17周}，星期三第1-2节{1-17周}</v>
      </c>
      <c r="E213" s="7" t="str">
        <f>"吴萌"</f>
        <v>吴萌</v>
      </c>
      <c r="F213" s="7" t="str">
        <f>"成佳佳"</f>
        <v>成佳佳</v>
      </c>
      <c r="G213" s="7" t="str">
        <f>"2230202Z1002"</f>
        <v>2230202Z1002</v>
      </c>
    </row>
    <row r="214" ht="36" spans="1:7">
      <c r="A214" s="7">
        <v>212</v>
      </c>
      <c r="B214" s="7" t="str">
        <f t="shared" si="8"/>
        <v>数学学院</v>
      </c>
      <c r="C214" s="7" t="str">
        <f>"概率论（理科）"</f>
        <v>概率论（理科）</v>
      </c>
      <c r="D214" s="7" t="str">
        <f>"星期一第3-4节{1-17周}，星期三第3-4节{1-17周}"</f>
        <v>星期一第3-4节{1-17周}，星期三第3-4节{1-17周}</v>
      </c>
      <c r="E214" s="7" t="str">
        <f>"吴萌"</f>
        <v>吴萌</v>
      </c>
      <c r="F214" s="7" t="str">
        <f>"孔祥培"</f>
        <v>孔祥培</v>
      </c>
      <c r="G214" s="7" t="str">
        <f>"2230202Z1001"</f>
        <v>2230202Z1001</v>
      </c>
    </row>
    <row r="215" ht="36" spans="1:7">
      <c r="A215" s="7">
        <v>213</v>
      </c>
      <c r="B215" s="7" t="str">
        <f t="shared" si="8"/>
        <v>数学学院</v>
      </c>
      <c r="C215" s="7" t="str">
        <f>"高等数学Ⅰ"</f>
        <v>高等数学Ⅰ</v>
      </c>
      <c r="D215" s="7" t="str">
        <f>"星期二第3-4节{1-17周}，星期四第6-8节{1-17周}"</f>
        <v>星期二第3-4节{1-17周}，星期四第6-8节{1-17周}</v>
      </c>
      <c r="E215" s="7" t="str">
        <f>"王开弘"</f>
        <v>王开弘</v>
      </c>
      <c r="F215" s="7" t="str">
        <f>"尹立"</f>
        <v>尹立</v>
      </c>
      <c r="G215" s="7" t="str">
        <f>"1240202Z1001"</f>
        <v>1240202Z1001</v>
      </c>
    </row>
    <row r="216" ht="36" spans="1:7">
      <c r="A216" s="7">
        <v>214</v>
      </c>
      <c r="B216" s="7" t="str">
        <f t="shared" si="8"/>
        <v>数学学院</v>
      </c>
      <c r="C216" s="7" t="str">
        <f>"高等数学Ⅰ"</f>
        <v>高等数学Ⅰ</v>
      </c>
      <c r="D216" s="7" t="str">
        <f>"星期二第1-2节{1-17周}，星期四第1-3节{1-17周}"</f>
        <v>星期二第1-2节{1-17周}，星期四第1-3节{1-17周}</v>
      </c>
      <c r="E216" s="7" t="str">
        <f>"王开弘"</f>
        <v>王开弘</v>
      </c>
      <c r="F216" s="7" t="str">
        <f>"罗雨欣"</f>
        <v>罗雨欣</v>
      </c>
      <c r="G216" s="7" t="str">
        <f>"2240202Z1016"</f>
        <v>2240202Z1016</v>
      </c>
    </row>
    <row r="217" ht="36" spans="1:7">
      <c r="A217" s="7">
        <v>215</v>
      </c>
      <c r="B217" s="7" t="str">
        <f t="shared" si="8"/>
        <v>数学学院</v>
      </c>
      <c r="C217" s="7" t="str">
        <f>"数学分析Ⅲ（理科）"</f>
        <v>数学分析Ⅲ（理科）</v>
      </c>
      <c r="D217" s="7" t="str">
        <f>"星期二第10-12节{1-17周}，星期五第8-9节{1-17周}"</f>
        <v>星期二第10-12节{1-17周}，星期五第8-9节{1-17周}</v>
      </c>
      <c r="E217" s="7" t="str">
        <f>"梁之磊"</f>
        <v>梁之磊</v>
      </c>
      <c r="F217" s="7" t="str">
        <f>"范霄"</f>
        <v>范霄</v>
      </c>
      <c r="G217" s="7" t="str">
        <f>"223070100024"</f>
        <v>223070100024</v>
      </c>
    </row>
    <row r="218" ht="24" spans="1:7">
      <c r="A218" s="7">
        <v>216</v>
      </c>
      <c r="B218" s="7" t="str">
        <f t="shared" si="8"/>
        <v>数学学院</v>
      </c>
      <c r="C218" s="7" t="str">
        <f>"常微分方程（英文）"</f>
        <v>常微分方程（英文）</v>
      </c>
      <c r="D218" s="7" t="str">
        <f>"星期五第1-3节{1-17周}"</f>
        <v>星期五第1-3节{1-17周}</v>
      </c>
      <c r="E218" s="7" t="str">
        <f>"梁之磊"</f>
        <v>梁之磊</v>
      </c>
      <c r="F218" s="7" t="str">
        <f>"刘森"</f>
        <v>刘森</v>
      </c>
      <c r="G218" s="7" t="str">
        <f>"124070100005"</f>
        <v>124070100005</v>
      </c>
    </row>
    <row r="219" ht="36" spans="1:7">
      <c r="A219" s="7">
        <v>217</v>
      </c>
      <c r="B219" s="7" t="str">
        <f t="shared" si="8"/>
        <v>数学学院</v>
      </c>
      <c r="C219" s="7" t="str">
        <f>"概率论与数理统计A"</f>
        <v>概率论与数理统计A</v>
      </c>
      <c r="D219" s="7" t="str">
        <f>"星期一第1-3节{1-17周}，星期三第5-6节{1-17周}"</f>
        <v>星期一第1-3节{1-17周}，星期三第5-6节{1-17周}</v>
      </c>
      <c r="E219" s="7" t="str">
        <f>"岳佳"</f>
        <v>岳佳</v>
      </c>
      <c r="F219" s="7" t="str">
        <f>"杨杰"</f>
        <v>杨杰</v>
      </c>
      <c r="G219" s="7" t="str">
        <f>"1230202Z2006"</f>
        <v>1230202Z2006</v>
      </c>
    </row>
    <row r="220" ht="36" spans="1:7">
      <c r="A220" s="7">
        <v>218</v>
      </c>
      <c r="B220" s="7" t="str">
        <f t="shared" si="8"/>
        <v>数学学院</v>
      </c>
      <c r="C220" s="7" t="str">
        <f>"概率论与数理统计A"</f>
        <v>概率论与数理统计A</v>
      </c>
      <c r="D220" s="7" t="str">
        <f>"星期二第10-11节{1-17周}，星期四第5-7节{1-17周}"</f>
        <v>星期二第10-11节{1-17周}，星期四第5-7节{1-17周}</v>
      </c>
      <c r="E220" s="7" t="str">
        <f>"岳佳"</f>
        <v>岳佳</v>
      </c>
      <c r="F220" s="7" t="str">
        <f>"何思筑"</f>
        <v>何思筑</v>
      </c>
      <c r="G220" s="7" t="str">
        <f>"123020104002"</f>
        <v>123020104002</v>
      </c>
    </row>
    <row r="221" ht="36" spans="1:7">
      <c r="A221" s="7">
        <v>219</v>
      </c>
      <c r="B221" s="7" t="str">
        <f t="shared" si="8"/>
        <v>数学学院</v>
      </c>
      <c r="C221" s="7" t="str">
        <f>"高等代数Ⅰ"</f>
        <v>高等代数Ⅰ</v>
      </c>
      <c r="D221" s="7" t="str">
        <f>"星期一第8-9节{1-17周}，星期三第1-2节{1-17周}"</f>
        <v>星期一第8-9节{1-17周}，星期三第1-2节{1-17周}</v>
      </c>
      <c r="E221" s="7" t="str">
        <f>"林可"</f>
        <v>林可</v>
      </c>
      <c r="F221" s="7" t="str">
        <f>"周思彤"</f>
        <v>周思彤</v>
      </c>
      <c r="G221" s="7" t="str">
        <f>"2230202Z2025"</f>
        <v>2230202Z2025</v>
      </c>
    </row>
    <row r="222" ht="36" spans="1:7">
      <c r="A222" s="7">
        <v>220</v>
      </c>
      <c r="B222" s="7" t="str">
        <f t="shared" ref="B222:B285" si="9">"数学学院"</f>
        <v>数学学院</v>
      </c>
      <c r="C222" s="7" t="str">
        <f>"高等代数Ⅰ"</f>
        <v>高等代数Ⅰ</v>
      </c>
      <c r="D222" s="7" t="str">
        <f>"星期一第3-4节{1-17周}，星期三第3-4节{1-17周}"</f>
        <v>星期一第3-4节{1-17周}，星期三第3-4节{1-17周}</v>
      </c>
      <c r="E222" s="7" t="str">
        <f>"林可"</f>
        <v>林可</v>
      </c>
      <c r="F222" s="7" t="str">
        <f>"范琳琳"</f>
        <v>范琳琳</v>
      </c>
      <c r="G222" s="7" t="str">
        <f>"223070100016"</f>
        <v>223070100016</v>
      </c>
    </row>
    <row r="223" ht="36" spans="1:7">
      <c r="A223" s="7">
        <v>221</v>
      </c>
      <c r="B223" s="7" t="str">
        <f t="shared" si="9"/>
        <v>数学学院</v>
      </c>
      <c r="C223" s="7" t="str">
        <f>"高等代数Ⅰ"</f>
        <v>高等代数Ⅰ</v>
      </c>
      <c r="D223" s="7" t="str">
        <f>"星期一第1-2节{1-17周}，星期三第8-9节{1-17周}"</f>
        <v>星期一第1-2节{1-17周}，星期三第8-9节{1-17周}</v>
      </c>
      <c r="E223" s="7" t="str">
        <f>"林可"</f>
        <v>林可</v>
      </c>
      <c r="F223" s="7" t="str">
        <f>"刘翰林"</f>
        <v>刘翰林</v>
      </c>
      <c r="G223" s="7" t="str">
        <f>"124070100004"</f>
        <v>124070100004</v>
      </c>
    </row>
    <row r="224" ht="36" spans="1:7">
      <c r="A224" s="7">
        <v>222</v>
      </c>
      <c r="B224" s="7" t="str">
        <f t="shared" si="9"/>
        <v>数学学院</v>
      </c>
      <c r="C224" s="7" t="str">
        <f>"高等数学Ⅰ"</f>
        <v>高等数学Ⅰ</v>
      </c>
      <c r="D224" s="7" t="str">
        <f>"星期二第10-11节{1-17周}，星期三第5-7节{1-17周}"</f>
        <v>星期二第10-11节{1-17周}，星期三第5-7节{1-17周}</v>
      </c>
      <c r="E224" s="7" t="str">
        <f>"孟开文"</f>
        <v>孟开文</v>
      </c>
      <c r="F224" s="7" t="str">
        <f>"吕一娜"</f>
        <v>吕一娜</v>
      </c>
      <c r="G224" s="7" t="str">
        <f>"124120203002"</f>
        <v>124120203002</v>
      </c>
    </row>
    <row r="225" ht="36" spans="1:7">
      <c r="A225" s="7">
        <v>223</v>
      </c>
      <c r="B225" s="7" t="str">
        <f t="shared" si="9"/>
        <v>数学学院</v>
      </c>
      <c r="C225" s="7" t="str">
        <f>"高等数学Ⅰ"</f>
        <v>高等数学Ⅰ</v>
      </c>
      <c r="D225" s="7" t="str">
        <f>"星期一第10-12节{1-17周}，星期二第3-4节{1-17周}"</f>
        <v>星期一第10-12节{1-17周}，星期二第3-4节{1-17周}</v>
      </c>
      <c r="E225" s="7" t="str">
        <f>"孟开文"</f>
        <v>孟开文</v>
      </c>
      <c r="F225" s="7" t="str">
        <f>"顾玲琳"</f>
        <v>顾玲琳</v>
      </c>
      <c r="G225" s="7" t="str">
        <f>"224070100028"</f>
        <v>224070100028</v>
      </c>
    </row>
    <row r="226" ht="36" spans="1:7">
      <c r="A226" s="7">
        <v>224</v>
      </c>
      <c r="B226" s="7" t="str">
        <f t="shared" si="9"/>
        <v>数学学院</v>
      </c>
      <c r="C226" s="7" t="str">
        <f>"概率论与数理统计A"</f>
        <v>概率论与数理统计A</v>
      </c>
      <c r="D226" s="7" t="str">
        <f>"星期一第8-9节{1-17周}，星期三第1-3节{1-17周}"</f>
        <v>星期一第8-9节{1-17周}，星期三第1-3节{1-17周}</v>
      </c>
      <c r="E226" s="7" t="str">
        <f>"杨扬"</f>
        <v>杨扬</v>
      </c>
      <c r="F226" s="7" t="str">
        <f>"范训豪"</f>
        <v>范训豪</v>
      </c>
      <c r="G226" s="7" t="str">
        <f>"2230202Z1008"</f>
        <v>2230202Z1008</v>
      </c>
    </row>
    <row r="227" ht="36" spans="1:7">
      <c r="A227" s="7">
        <v>225</v>
      </c>
      <c r="B227" s="7" t="str">
        <f t="shared" si="9"/>
        <v>数学学院</v>
      </c>
      <c r="C227" s="7" t="str">
        <f>"概率论与数理统计A"</f>
        <v>概率论与数理统计A</v>
      </c>
      <c r="D227" s="7" t="str">
        <f>"星期一第1-3节{1-17周}，星期三第10-11节{1-17周}"</f>
        <v>星期一第1-3节{1-17周}，星期三第10-11节{1-17周}</v>
      </c>
      <c r="E227" s="7" t="str">
        <f>"杨扬"</f>
        <v>杨扬</v>
      </c>
      <c r="F227" s="7" t="str">
        <f>"王思齐"</f>
        <v>王思齐</v>
      </c>
      <c r="G227" s="7" t="str">
        <f>"2240202Z1019"</f>
        <v>2240202Z1019</v>
      </c>
    </row>
    <row r="228" ht="36" spans="1:7">
      <c r="A228" s="7">
        <v>226</v>
      </c>
      <c r="B228" s="7" t="str">
        <f t="shared" si="9"/>
        <v>数学学院</v>
      </c>
      <c r="C228" s="7" t="str">
        <f>"数学分析Ⅰ（理科）"</f>
        <v>数学分析Ⅰ（理科）</v>
      </c>
      <c r="D228" s="7" t="str">
        <f>"星期二第10-12节{1-17周}，星期三第5-7节{1-17周}"</f>
        <v>星期二第10-12节{1-17周}，星期三第5-7节{1-17周}</v>
      </c>
      <c r="E228" s="7" t="str">
        <f>"王永富"</f>
        <v>王永富</v>
      </c>
      <c r="F228" s="7" t="str">
        <f>"何蕊岑"</f>
        <v>何蕊岑</v>
      </c>
      <c r="G228" s="7" t="str">
        <f>"223070100003"</f>
        <v>223070100003</v>
      </c>
    </row>
    <row r="229" ht="24" spans="1:7">
      <c r="A229" s="7">
        <v>227</v>
      </c>
      <c r="B229" s="7" t="str">
        <f t="shared" si="9"/>
        <v>数学学院</v>
      </c>
      <c r="C229" s="7" t="str">
        <f>"泛函分析"</f>
        <v>泛函分析</v>
      </c>
      <c r="D229" s="7" t="str">
        <f>"星期四第1-3节{1-17周}"</f>
        <v>星期四第1-3节{1-17周}</v>
      </c>
      <c r="E229" s="7" t="str">
        <f>"邓洋"</f>
        <v>邓洋</v>
      </c>
      <c r="F229" s="7" t="str">
        <f>"封俊宏"</f>
        <v>封俊宏</v>
      </c>
      <c r="G229" s="7" t="str">
        <f>"124070100007"</f>
        <v>124070100007</v>
      </c>
    </row>
    <row r="230" ht="24" spans="1:7">
      <c r="A230" s="7">
        <v>228</v>
      </c>
      <c r="B230" s="7" t="str">
        <f t="shared" si="9"/>
        <v>数学学院</v>
      </c>
      <c r="C230" s="7" t="str">
        <f>"泛函分析"</f>
        <v>泛函分析</v>
      </c>
      <c r="D230" s="7" t="str">
        <f>"星期二第10-12节{1-17周}"</f>
        <v>星期二第10-12节{1-17周}</v>
      </c>
      <c r="E230" s="7" t="str">
        <f>"邓洋"</f>
        <v>邓洋</v>
      </c>
      <c r="F230" s="7" t="str">
        <f>"倪朕"</f>
        <v>倪朕</v>
      </c>
      <c r="G230" s="7" t="str">
        <f>"223070100002"</f>
        <v>223070100002</v>
      </c>
    </row>
    <row r="231" ht="24" spans="1:7">
      <c r="A231" s="7">
        <v>229</v>
      </c>
      <c r="B231" s="7" t="str">
        <f t="shared" si="9"/>
        <v>数学学院</v>
      </c>
      <c r="C231" s="7" t="str">
        <f>"机器学习数学基础"</f>
        <v>机器学习数学基础</v>
      </c>
      <c r="D231" s="7" t="str">
        <f>"星期二第10-12节{1-17周}"</f>
        <v>星期二第10-12节{1-17周}</v>
      </c>
      <c r="E231" s="7" t="str">
        <f>"王天明"</f>
        <v>王天明</v>
      </c>
      <c r="F231" s="7" t="str">
        <f>"王焕"</f>
        <v>王焕</v>
      </c>
      <c r="G231" s="7" t="str">
        <f>"2230202Z1021"</f>
        <v>2230202Z1021</v>
      </c>
    </row>
    <row r="232" ht="24" spans="1:7">
      <c r="A232" s="7">
        <v>230</v>
      </c>
      <c r="B232" s="7" t="str">
        <f t="shared" si="9"/>
        <v>数学学院</v>
      </c>
      <c r="C232" s="7" t="str">
        <f>"机器学习数学基础"</f>
        <v>机器学习数学基础</v>
      </c>
      <c r="D232" s="7" t="str">
        <f>"星期二第1-3节{1-17周}"</f>
        <v>星期二第1-3节{1-17周}</v>
      </c>
      <c r="E232" s="7" t="str">
        <f>"王天明"</f>
        <v>王天明</v>
      </c>
      <c r="F232" s="7" t="str">
        <f>"张若愚"</f>
        <v>张若愚</v>
      </c>
      <c r="G232" s="7" t="str">
        <f>"224070100008"</f>
        <v>224070100008</v>
      </c>
    </row>
    <row r="233" ht="24" spans="1:7">
      <c r="A233" s="7">
        <v>231</v>
      </c>
      <c r="B233" s="7" t="str">
        <f t="shared" si="9"/>
        <v>数学学院</v>
      </c>
      <c r="C233" s="7" t="str">
        <f>"实变函数论"</f>
        <v>实变函数论</v>
      </c>
      <c r="D233" s="7" t="str">
        <f>"星期三第10-12节{1-17周}"</f>
        <v>星期三第10-12节{1-17周}</v>
      </c>
      <c r="E233" s="7" t="str">
        <f>"桑元琦"</f>
        <v>桑元琦</v>
      </c>
      <c r="F233" s="7" t="str">
        <f>"石周昊"</f>
        <v>石周昊</v>
      </c>
      <c r="G233" s="7" t="str">
        <f>"2240202Z1012"</f>
        <v>2240202Z1012</v>
      </c>
    </row>
    <row r="234" ht="24" spans="1:7">
      <c r="A234" s="7">
        <v>232</v>
      </c>
      <c r="B234" s="7" t="str">
        <f t="shared" si="9"/>
        <v>数学学院</v>
      </c>
      <c r="C234" s="7" t="str">
        <f>"常微分方程"</f>
        <v>常微分方程</v>
      </c>
      <c r="D234" s="7" t="str">
        <f>"星期一第10-12节{1-17周}"</f>
        <v>星期一第10-12节{1-17周}</v>
      </c>
      <c r="E234" s="7" t="str">
        <f>"祝书强"</f>
        <v>祝书强</v>
      </c>
      <c r="F234" s="7" t="str">
        <f>"王圣"</f>
        <v>王圣</v>
      </c>
      <c r="G234" s="7" t="str">
        <f>"123070100004"</f>
        <v>123070100004</v>
      </c>
    </row>
    <row r="235" ht="24" spans="1:7">
      <c r="A235" s="7">
        <v>233</v>
      </c>
      <c r="B235" s="7" t="str">
        <f t="shared" si="9"/>
        <v>数学学院</v>
      </c>
      <c r="C235" s="7" t="str">
        <f>"常微分方程"</f>
        <v>常微分方程</v>
      </c>
      <c r="D235" s="7" t="str">
        <f>"星期三第10-12节{1-17周}"</f>
        <v>星期三第10-12节{1-17周}</v>
      </c>
      <c r="E235" s="7" t="str">
        <f>"祝书强"</f>
        <v>祝书强</v>
      </c>
      <c r="F235" s="7" t="str">
        <f>"顾继炜"</f>
        <v>顾继炜</v>
      </c>
      <c r="G235" s="7" t="str">
        <f>"224070100001"</f>
        <v>224070100001</v>
      </c>
    </row>
    <row r="236" ht="36" spans="1:7">
      <c r="A236" s="7">
        <v>234</v>
      </c>
      <c r="B236" s="7" t="str">
        <f t="shared" si="9"/>
        <v>数学学院</v>
      </c>
      <c r="C236" s="7" t="str">
        <f>"高等数学Ⅰ"</f>
        <v>高等数学Ⅰ</v>
      </c>
      <c r="D236" s="7" t="str">
        <f>"星期一第10-12节{1-17周}，星期二第3-4节{1-17周}"</f>
        <v>星期一第10-12节{1-17周}，星期二第3-4节{1-17周}</v>
      </c>
      <c r="E236" s="7" t="str">
        <f>"蒲洋"</f>
        <v>蒲洋</v>
      </c>
      <c r="F236" s="7" t="str">
        <f>"毕皓"</f>
        <v>毕皓</v>
      </c>
      <c r="G236" s="7" t="str">
        <f>"124070100001"</f>
        <v>124070100001</v>
      </c>
    </row>
    <row r="237" ht="36" spans="1:7">
      <c r="A237" s="7">
        <v>235</v>
      </c>
      <c r="B237" s="7" t="str">
        <f t="shared" si="9"/>
        <v>数学学院</v>
      </c>
      <c r="C237" s="7" t="str">
        <f>"高等数学Ⅰ"</f>
        <v>高等数学Ⅰ</v>
      </c>
      <c r="D237" s="7" t="str">
        <f>"星期一第10-12节{1-17周}，星期二第3-4节{1-17周}"</f>
        <v>星期一第10-12节{1-17周}，星期二第3-4节{1-17周}</v>
      </c>
      <c r="E237" s="7" t="str">
        <f>"王锐"</f>
        <v>王锐</v>
      </c>
      <c r="F237" s="7" t="str">
        <f>"张若迅"</f>
        <v>张若迅</v>
      </c>
      <c r="G237" s="7" t="str">
        <f>"224070100017"</f>
        <v>224070100017</v>
      </c>
    </row>
    <row r="238" ht="36" spans="1:7">
      <c r="A238" s="7">
        <v>236</v>
      </c>
      <c r="B238" s="7" t="str">
        <f t="shared" si="9"/>
        <v>数学学院</v>
      </c>
      <c r="C238" s="7" t="str">
        <f>"高等数学Ⅰ"</f>
        <v>高等数学Ⅰ</v>
      </c>
      <c r="D238" s="7" t="str">
        <f>"星期一第8-9节{1-17周}，星期三第7-9节{1-17周}"</f>
        <v>星期一第8-9节{1-17周}，星期三第7-9节{1-17周}</v>
      </c>
      <c r="E238" s="7" t="str">
        <f>"李双龙"</f>
        <v>李双龙</v>
      </c>
      <c r="F238" s="7" t="str">
        <f>"穆淑敏"</f>
        <v>穆淑敏</v>
      </c>
      <c r="G238" s="7" t="str">
        <f>"223070100012"</f>
        <v>223070100012</v>
      </c>
    </row>
    <row r="239" ht="36" spans="1:7">
      <c r="A239" s="7">
        <v>237</v>
      </c>
      <c r="B239" s="7" t="str">
        <f t="shared" si="9"/>
        <v>数学学院</v>
      </c>
      <c r="C239" s="7" t="str">
        <f>"高等数学Ⅰ"</f>
        <v>高等数学Ⅰ</v>
      </c>
      <c r="D239" s="7" t="str">
        <f>"星期二第10-12节{1-17周}，星期三第8-9节{1-17周}"</f>
        <v>星期二第10-12节{1-17周}，星期三第8-9节{1-17周}</v>
      </c>
      <c r="E239" s="7" t="str">
        <f>"游杰"</f>
        <v>游杰</v>
      </c>
      <c r="F239" s="7" t="str">
        <f>"李宁心"</f>
        <v>李宁心</v>
      </c>
      <c r="G239" s="7" t="str">
        <f>"1221202Z9005"</f>
        <v>1221202Z9005</v>
      </c>
    </row>
    <row r="240" ht="36" spans="1:7">
      <c r="A240" s="7">
        <v>238</v>
      </c>
      <c r="B240" s="7" t="str">
        <f t="shared" si="9"/>
        <v>数学学院</v>
      </c>
      <c r="C240" s="7" t="str">
        <f>"高等代数Ⅰ（理科）"</f>
        <v>高等代数Ⅰ（理科）</v>
      </c>
      <c r="D240" s="7" t="str">
        <f>"星期一第8-9节{1-17周}，星期二第3-4节{1-17周}"</f>
        <v>星期一第8-9节{1-17周}，星期二第3-4节{1-17周}</v>
      </c>
      <c r="E240" s="7" t="str">
        <f>"陈轶骅"</f>
        <v>陈轶骅</v>
      </c>
      <c r="F240" s="7" t="str">
        <f>"刘玥贝"</f>
        <v>刘玥贝</v>
      </c>
      <c r="G240" s="7" t="str">
        <f>"224120201028"</f>
        <v>224120201028</v>
      </c>
    </row>
    <row r="241" ht="24" spans="1:7">
      <c r="A241" s="7">
        <v>239</v>
      </c>
      <c r="B241" s="7" t="str">
        <f t="shared" si="9"/>
        <v>数学学院</v>
      </c>
      <c r="C241" s="7" t="str">
        <f>"近世代数"</f>
        <v>近世代数</v>
      </c>
      <c r="D241" s="7" t="str">
        <f>"星期一第1-3节{1-17周}"</f>
        <v>星期一第1-3节{1-17周}</v>
      </c>
      <c r="E241" s="7" t="str">
        <f>"陈轶骅"</f>
        <v>陈轶骅</v>
      </c>
      <c r="F241" s="7" t="str">
        <f>"李耀"</f>
        <v>李耀</v>
      </c>
      <c r="G241" s="7" t="str">
        <f>"1220202Z1002"</f>
        <v>1220202Z1002</v>
      </c>
    </row>
    <row r="242" ht="36" spans="1:7">
      <c r="A242" s="7">
        <v>240</v>
      </c>
      <c r="B242" s="7" t="str">
        <f t="shared" si="9"/>
        <v>数学学院</v>
      </c>
      <c r="C242" s="7" t="str">
        <f t="shared" ref="C242:C249" si="10">"高等数学Ⅰ"</f>
        <v>高等数学Ⅰ</v>
      </c>
      <c r="D242" s="7" t="str">
        <f>"星期一第10-12节{1-17周}，星期三第1-2节{1-17周}"</f>
        <v>星期一第10-12节{1-17周}，星期三第1-2节{1-17周}</v>
      </c>
      <c r="E242" s="7" t="str">
        <f>"席悦娟"</f>
        <v>席悦娟</v>
      </c>
      <c r="F242" s="7" t="str">
        <f>"赵博韬"</f>
        <v>赵博韬</v>
      </c>
      <c r="G242" s="7" t="str">
        <f>"2240202Z1009"</f>
        <v>2240202Z1009</v>
      </c>
    </row>
    <row r="243" ht="36" spans="1:7">
      <c r="A243" s="7">
        <v>241</v>
      </c>
      <c r="B243" s="7" t="str">
        <f t="shared" si="9"/>
        <v>数学学院</v>
      </c>
      <c r="C243" s="7" t="str">
        <f t="shared" si="10"/>
        <v>高等数学Ⅰ</v>
      </c>
      <c r="D243" s="7" t="str">
        <f>"星期一第10-12节{1-17周}，星期三第1-2节{1-17周}"</f>
        <v>星期一第10-12节{1-17周}，星期三第1-2节{1-17周}</v>
      </c>
      <c r="E243" s="7" t="str">
        <f>"刘文月"</f>
        <v>刘文月</v>
      </c>
      <c r="F243" s="7" t="str">
        <f>"周蔚廷"</f>
        <v>周蔚廷</v>
      </c>
      <c r="G243" s="7" t="str">
        <f>"223070100028"</f>
        <v>223070100028</v>
      </c>
    </row>
    <row r="244" ht="36" spans="1:7">
      <c r="A244" s="7">
        <v>242</v>
      </c>
      <c r="B244" s="7" t="str">
        <f t="shared" si="9"/>
        <v>数学学院</v>
      </c>
      <c r="C244" s="7" t="str">
        <f t="shared" si="10"/>
        <v>高等数学Ⅰ</v>
      </c>
      <c r="D244" s="7" t="str">
        <f>"星期一第6-7节{1-17周}，星期三第1-3节{1-17周}"</f>
        <v>星期一第6-7节{1-17周}，星期三第1-3节{1-17周}</v>
      </c>
      <c r="E244" s="7" t="str">
        <f>"刘梦"</f>
        <v>刘梦</v>
      </c>
      <c r="F244" s="7" t="str">
        <f>"邓小钰"</f>
        <v>邓小钰</v>
      </c>
      <c r="G244" s="7" t="str">
        <f>"224081200055"</f>
        <v>224081200055</v>
      </c>
    </row>
    <row r="245" ht="36" spans="1:7">
      <c r="A245" s="7">
        <v>243</v>
      </c>
      <c r="B245" s="7" t="str">
        <f t="shared" si="9"/>
        <v>数学学院</v>
      </c>
      <c r="C245" s="7" t="str">
        <f t="shared" si="10"/>
        <v>高等数学Ⅰ</v>
      </c>
      <c r="D245" s="7" t="str">
        <f>"星期二第10-12节{1-17周}，星期四第8-9节{1-17周}"</f>
        <v>星期二第10-12节{1-17周}，星期四第8-9节{1-17周}</v>
      </c>
      <c r="E245" s="7" t="str">
        <f>"张玉越"</f>
        <v>张玉越</v>
      </c>
      <c r="F245" s="7" t="str">
        <f>"李薇"</f>
        <v>李薇</v>
      </c>
      <c r="G245" s="7" t="str">
        <f>"2240202Z1008"</f>
        <v>2240202Z1008</v>
      </c>
    </row>
    <row r="246" ht="36" spans="1:7">
      <c r="A246" s="7">
        <v>244</v>
      </c>
      <c r="B246" s="7" t="str">
        <f t="shared" si="9"/>
        <v>数学学院</v>
      </c>
      <c r="C246" s="7" t="str">
        <f t="shared" si="10"/>
        <v>高等数学Ⅰ</v>
      </c>
      <c r="D246" s="7" t="str">
        <f>"星期一第5-6节{1-17周}，星期三第1-3节{1-17周}"</f>
        <v>星期一第5-6节{1-17周}，星期三第1-3节{1-17周}</v>
      </c>
      <c r="E246" s="7" t="str">
        <f>"王祥"</f>
        <v>王祥</v>
      </c>
      <c r="F246" s="7" t="str">
        <f>"蔡杰"</f>
        <v>蔡杰</v>
      </c>
      <c r="G246" s="7" t="str">
        <f>"2230202J5001"</f>
        <v>2230202J5001</v>
      </c>
    </row>
    <row r="247" ht="36" spans="1:7">
      <c r="A247" s="7">
        <v>245</v>
      </c>
      <c r="B247" s="7" t="str">
        <f t="shared" si="9"/>
        <v>数学学院</v>
      </c>
      <c r="C247" s="7" t="str">
        <f t="shared" si="10"/>
        <v>高等数学Ⅰ</v>
      </c>
      <c r="D247" s="7" t="str">
        <f>"星期一第8-9节{1-17周}，星期三第5-7节{1-17周}"</f>
        <v>星期一第8-9节{1-17周}，星期三第5-7节{1-17周}</v>
      </c>
      <c r="E247" s="7" t="str">
        <f>"王祥"</f>
        <v>王祥</v>
      </c>
      <c r="F247" s="7" t="str">
        <f>"何俊"</f>
        <v>何俊</v>
      </c>
      <c r="G247" s="7" t="str">
        <f>"223070100023"</f>
        <v>223070100023</v>
      </c>
    </row>
    <row r="248" ht="36" spans="1:7">
      <c r="A248" s="7">
        <v>246</v>
      </c>
      <c r="B248" s="7" t="str">
        <f t="shared" si="9"/>
        <v>数学学院</v>
      </c>
      <c r="C248" s="7" t="str">
        <f t="shared" si="10"/>
        <v>高等数学Ⅰ</v>
      </c>
      <c r="D248" s="7" t="str">
        <f>"星期三第5-6节{1-17周}，星期四第10-12节{1-17周}"</f>
        <v>星期三第5-6节{1-17周}，星期四第10-12节{1-17周}</v>
      </c>
      <c r="E248" s="7" t="str">
        <f>"章丽"</f>
        <v>章丽</v>
      </c>
      <c r="F248" s="7" t="str">
        <f>"袁浩成"</f>
        <v>袁浩成</v>
      </c>
      <c r="G248" s="7" t="str">
        <f>"2240202Z1007"</f>
        <v>2240202Z1007</v>
      </c>
    </row>
    <row r="249" ht="36" spans="1:7">
      <c r="A249" s="7">
        <v>247</v>
      </c>
      <c r="B249" s="7" t="str">
        <f t="shared" si="9"/>
        <v>数学学院</v>
      </c>
      <c r="C249" s="7" t="str">
        <f t="shared" si="10"/>
        <v>高等数学Ⅰ</v>
      </c>
      <c r="D249" s="7" t="str">
        <f>"星期二第10-12节{1-17周}，星期三第8-9节{1-17周}"</f>
        <v>星期二第10-12节{1-17周}，星期三第8-9节{1-17周}</v>
      </c>
      <c r="E249" s="7" t="str">
        <f>"章丽"</f>
        <v>章丽</v>
      </c>
      <c r="F249" s="7" t="str">
        <f>"朱健强"</f>
        <v>朱健强</v>
      </c>
      <c r="G249" s="7" t="str">
        <f>"224070100012"</f>
        <v>224070100012</v>
      </c>
    </row>
    <row r="250" ht="36" spans="1:7">
      <c r="A250" s="7">
        <v>248</v>
      </c>
      <c r="B250" s="7" t="str">
        <f t="shared" si="9"/>
        <v>数学学院</v>
      </c>
      <c r="C250" s="7" t="str">
        <f>"数学分析Ⅲ（理科）"</f>
        <v>数学分析Ⅲ（理科）</v>
      </c>
      <c r="D250" s="7" t="str">
        <f>"星期一第1-2节{1-17周}，星期三第1-3节{1-17周}"</f>
        <v>星期一第1-2节{1-17周}，星期三第1-3节{1-17周}</v>
      </c>
      <c r="E250" s="7" t="str">
        <f>"黎伟"</f>
        <v>黎伟</v>
      </c>
      <c r="F250" s="7" t="str">
        <f>"余澜"</f>
        <v>余澜</v>
      </c>
      <c r="G250" s="7" t="str">
        <f>"121020208004"</f>
        <v>121020208004</v>
      </c>
    </row>
    <row r="251" ht="24" spans="1:7">
      <c r="A251" s="7">
        <v>249</v>
      </c>
      <c r="B251" s="7" t="str">
        <f t="shared" si="9"/>
        <v>数学学院</v>
      </c>
      <c r="C251" s="7" t="str">
        <f>"数值分析"</f>
        <v>数值分析</v>
      </c>
      <c r="D251" s="7" t="str">
        <f>"星期一第1-3节{1-17周}"</f>
        <v>星期一第1-3节{1-17周}</v>
      </c>
      <c r="E251" s="7" t="str">
        <f>"林一丁"</f>
        <v>林一丁</v>
      </c>
      <c r="F251" s="7" t="str">
        <f>"郝赫"</f>
        <v>郝赫</v>
      </c>
      <c r="G251" s="7" t="str">
        <f>"224070100024"</f>
        <v>224070100024</v>
      </c>
    </row>
    <row r="252" ht="24" spans="1:7">
      <c r="A252" s="7">
        <v>250</v>
      </c>
      <c r="B252" s="7" t="str">
        <f t="shared" si="9"/>
        <v>数学学院</v>
      </c>
      <c r="C252" s="7" t="str">
        <f>"数值分析"</f>
        <v>数值分析</v>
      </c>
      <c r="D252" s="7" t="str">
        <f>"星期三第1-3节{1-17周}"</f>
        <v>星期三第1-3节{1-17周}</v>
      </c>
      <c r="E252" s="7" t="str">
        <f>"陈善镇"</f>
        <v>陈善镇</v>
      </c>
      <c r="F252" s="7" t="str">
        <f>"胡贤华"</f>
        <v>胡贤华</v>
      </c>
      <c r="G252" s="7" t="str">
        <f>"223070100014"</f>
        <v>223070100014</v>
      </c>
    </row>
    <row r="253" ht="36" spans="1:7">
      <c r="A253" s="7">
        <v>251</v>
      </c>
      <c r="B253" s="7" t="str">
        <f t="shared" si="9"/>
        <v>数学学院</v>
      </c>
      <c r="C253" s="7" t="str">
        <f>"概率论（理科）"</f>
        <v>概率论（理科）</v>
      </c>
      <c r="D253" s="7" t="str">
        <f>"星期二第1-2节{1-17周}，星期四第1-2节{1-17周}"</f>
        <v>星期二第1-2节{1-17周}，星期四第1-2节{1-17周}</v>
      </c>
      <c r="E253" s="7" t="str">
        <f>"陈善镇"</f>
        <v>陈善镇</v>
      </c>
      <c r="F253" s="7" t="str">
        <f>"熊林博"</f>
        <v>熊林博</v>
      </c>
      <c r="G253" s="7" t="str">
        <f>"224081200021"</f>
        <v>224081200021</v>
      </c>
    </row>
    <row r="254" ht="36" spans="1:7">
      <c r="A254" s="7">
        <v>252</v>
      </c>
      <c r="B254" s="7" t="str">
        <f t="shared" si="9"/>
        <v>数学学院</v>
      </c>
      <c r="C254" s="7" t="str">
        <f>"概率论（理科）"</f>
        <v>概率论（理科）</v>
      </c>
      <c r="D254" s="7" t="str">
        <f>"星期二第3-4节{1-17周}，星期四第3-4节{1-17周}"</f>
        <v>星期二第3-4节{1-17周}，星期四第3-4节{1-17周}</v>
      </c>
      <c r="E254" s="7" t="str">
        <f>"陈善镇"</f>
        <v>陈善镇</v>
      </c>
      <c r="F254" s="7" t="str">
        <f>"常峻赫"</f>
        <v>常峻赫</v>
      </c>
      <c r="G254" s="7" t="str">
        <f>"224070100023"</f>
        <v>224070100023</v>
      </c>
    </row>
    <row r="255" ht="36" spans="1:7">
      <c r="A255" s="7">
        <v>253</v>
      </c>
      <c r="B255" s="7" t="str">
        <f t="shared" si="9"/>
        <v>数学学院</v>
      </c>
      <c r="C255" s="7" t="str">
        <f>"高等数学Ⅰ"</f>
        <v>高等数学Ⅰ</v>
      </c>
      <c r="D255" s="7" t="str">
        <f>"星期二第1-3节{1-17周}，星期四第1-2节{1-17周}"</f>
        <v>星期二第1-3节{1-17周}，星期四第1-2节{1-17周}</v>
      </c>
      <c r="E255" s="7" t="str">
        <f>"张清邦"</f>
        <v>张清邦</v>
      </c>
      <c r="F255" s="7" t="str">
        <f>"宋卓阳"</f>
        <v>宋卓阳</v>
      </c>
      <c r="G255" s="7" t="str">
        <f>"2230202Z1007"</f>
        <v>2230202Z1007</v>
      </c>
    </row>
    <row r="256" ht="36" spans="1:7">
      <c r="A256" s="7">
        <v>254</v>
      </c>
      <c r="B256" s="7" t="str">
        <f t="shared" si="9"/>
        <v>数学学院</v>
      </c>
      <c r="C256" s="7" t="str">
        <f>"数学分析Ⅰ"</f>
        <v>数学分析Ⅰ</v>
      </c>
      <c r="D256" s="7" t="str">
        <f>"星期二第10-12节{1-17周}，星期四第5-7节{1-17周}"</f>
        <v>星期二第10-12节{1-17周}，星期四第5-7节{1-17周}</v>
      </c>
      <c r="E256" s="7" t="str">
        <f>"欧丽"</f>
        <v>欧丽</v>
      </c>
      <c r="F256" s="7" t="str">
        <f>"吴轲"</f>
        <v>吴轲</v>
      </c>
      <c r="G256" s="7" t="str">
        <f>"223020206015"</f>
        <v>223020206015</v>
      </c>
    </row>
    <row r="257" ht="36" spans="1:7">
      <c r="A257" s="7">
        <v>255</v>
      </c>
      <c r="B257" s="7" t="str">
        <f t="shared" si="9"/>
        <v>数学学院</v>
      </c>
      <c r="C257" s="7" t="str">
        <f>"数学分析Ⅰ"</f>
        <v>数学分析Ⅰ</v>
      </c>
      <c r="D257" s="7" t="str">
        <f>"星期二第1-3节{1-17周}，星期四第10-12节{1-17周}"</f>
        <v>星期二第1-3节{1-17周}，星期四第10-12节{1-17周}</v>
      </c>
      <c r="E257" s="7" t="str">
        <f>"欧丽"</f>
        <v>欧丽</v>
      </c>
      <c r="F257" s="7" t="str">
        <f>"薛博洋"</f>
        <v>薛博洋</v>
      </c>
      <c r="G257" s="7" t="str">
        <f>"223120203011"</f>
        <v>223120203011</v>
      </c>
    </row>
    <row r="258" ht="36" spans="1:7">
      <c r="A258" s="7">
        <v>256</v>
      </c>
      <c r="B258" s="7" t="str">
        <f t="shared" si="9"/>
        <v>数学学院</v>
      </c>
      <c r="C258" s="7" t="str">
        <f>"数学分析I（英文）"</f>
        <v>数学分析I（英文）</v>
      </c>
      <c r="D258" s="7" t="str">
        <f>"星期一第1-3节{1-17周}，星期三第1-3节{1-17周}"</f>
        <v>星期一第1-3节{1-17周}，星期三第1-3节{1-17周}</v>
      </c>
      <c r="E258" s="7" t="str">
        <f>"郭训香"</f>
        <v>郭训香</v>
      </c>
      <c r="F258" s="7" t="str">
        <f>"胡先全"</f>
        <v>胡先全</v>
      </c>
      <c r="G258" s="7" t="str">
        <f>"1210202Z1008"</f>
        <v>1210202Z1008</v>
      </c>
    </row>
    <row r="259" ht="36" spans="1:7">
      <c r="A259" s="7">
        <v>257</v>
      </c>
      <c r="B259" s="7" t="str">
        <f t="shared" si="9"/>
        <v>数学学院</v>
      </c>
      <c r="C259" s="7" t="str">
        <f>"数学分析I（英文）"</f>
        <v>数学分析I（英文）</v>
      </c>
      <c r="D259" s="7" t="str">
        <f>"星期二第1-3节{1-17周}，星期三第10-12节{1-17周}"</f>
        <v>星期二第1-3节{1-17周}，星期三第10-12节{1-17周}</v>
      </c>
      <c r="E259" s="7" t="str">
        <f>"郭训香"</f>
        <v>郭训香</v>
      </c>
      <c r="F259" s="7" t="str">
        <f>"吴健"</f>
        <v>吴健</v>
      </c>
      <c r="G259" s="7" t="str">
        <f>"123070100006"</f>
        <v>123070100006</v>
      </c>
    </row>
    <row r="260" ht="36" spans="1:7">
      <c r="A260" s="7">
        <v>258</v>
      </c>
      <c r="B260" s="7" t="str">
        <f t="shared" si="9"/>
        <v>数学学院</v>
      </c>
      <c r="C260" s="7" t="str">
        <f>"数学分析I（英文）"</f>
        <v>数学分析I（英文）</v>
      </c>
      <c r="D260" s="7" t="str">
        <f>"星期一第5-7节{1-17周}，星期四第1-3节{1-17周}"</f>
        <v>星期一第5-7节{1-17周}，星期四第1-3节{1-17周}</v>
      </c>
      <c r="E260" s="7" t="str">
        <f>"郭训香"</f>
        <v>郭训香</v>
      </c>
      <c r="F260" s="7" t="str">
        <f>"张鸿宇"</f>
        <v>张鸿宇</v>
      </c>
      <c r="G260" s="7" t="str">
        <f>"123070100008"</f>
        <v>123070100008</v>
      </c>
    </row>
    <row r="261" ht="24" spans="1:7">
      <c r="A261" s="7">
        <v>259</v>
      </c>
      <c r="B261" s="7" t="str">
        <f t="shared" si="9"/>
        <v>数学学院</v>
      </c>
      <c r="C261" s="7" t="str">
        <f>"优化理论"</f>
        <v>优化理论</v>
      </c>
      <c r="D261" s="7" t="str">
        <f>"星期二第10-12节{1-17周}"</f>
        <v>星期二第10-12节{1-17周}</v>
      </c>
      <c r="E261" s="7" t="str">
        <f>"张清邦"</f>
        <v>张清邦</v>
      </c>
      <c r="F261" s="7" t="str">
        <f>"吴秀秀"</f>
        <v>吴秀秀</v>
      </c>
      <c r="G261" s="7" t="str">
        <f>"224071400024"</f>
        <v>224071400024</v>
      </c>
    </row>
    <row r="262" ht="24" spans="1:7">
      <c r="A262" s="7">
        <v>260</v>
      </c>
      <c r="B262" s="7" t="str">
        <f t="shared" si="9"/>
        <v>数学学院</v>
      </c>
      <c r="C262" s="7" t="str">
        <f>"数值分析"</f>
        <v>数值分析</v>
      </c>
      <c r="D262" s="7" t="str">
        <f>"星期三第5-7节{1-17周}"</f>
        <v>星期三第5-7节{1-17周}</v>
      </c>
      <c r="E262" s="7" t="str">
        <f>"陈善镇"</f>
        <v>陈善镇</v>
      </c>
      <c r="F262" s="7" t="str">
        <f>"王率澎"</f>
        <v>王率澎</v>
      </c>
      <c r="G262" s="7" t="str">
        <f>"223070100013"</f>
        <v>223070100013</v>
      </c>
    </row>
    <row r="263" ht="36" spans="1:7">
      <c r="A263" s="7">
        <v>261</v>
      </c>
      <c r="B263" s="7" t="str">
        <f t="shared" si="9"/>
        <v>数学学院</v>
      </c>
      <c r="C263" s="7" t="str">
        <f>"数学分析Ⅲ（理科）"</f>
        <v>数学分析Ⅲ（理科）</v>
      </c>
      <c r="D263" s="7" t="str">
        <f>"星期一第3-4节{1-17周}，星期三第5-7节{1-17周}"</f>
        <v>星期一第3-4节{1-17周}，星期三第5-7节{1-17周}</v>
      </c>
      <c r="E263" s="7" t="str">
        <f>"黎伟"</f>
        <v>黎伟</v>
      </c>
      <c r="F263" s="7" t="str">
        <f>"罗清天"</f>
        <v>罗清天</v>
      </c>
      <c r="G263" s="7" t="str">
        <f>"124020209004"</f>
        <v>124020209004</v>
      </c>
    </row>
    <row r="264" ht="24" spans="1:7">
      <c r="A264" s="7">
        <v>262</v>
      </c>
      <c r="B264" s="7" t="str">
        <f t="shared" si="9"/>
        <v>数学学院</v>
      </c>
      <c r="C264" s="7" t="str">
        <f>"线性代数"</f>
        <v>线性代数</v>
      </c>
      <c r="D264" s="7" t="str">
        <f>"星期四第1-3节{1-17周}"</f>
        <v>星期四第1-3节{1-17周}</v>
      </c>
      <c r="E264" s="7" t="str">
        <f>"李坤"</f>
        <v>李坤</v>
      </c>
      <c r="F264" s="7" t="str">
        <f>"朱鑫"</f>
        <v>朱鑫</v>
      </c>
      <c r="G264" s="7" t="str">
        <f>"223070100017"</f>
        <v>223070100017</v>
      </c>
    </row>
    <row r="265" ht="24" spans="1:7">
      <c r="A265" s="7">
        <v>263</v>
      </c>
      <c r="B265" s="7" t="str">
        <f t="shared" si="9"/>
        <v>数学学院</v>
      </c>
      <c r="C265" s="7" t="str">
        <f>"线性代数"</f>
        <v>线性代数</v>
      </c>
      <c r="D265" s="7" t="str">
        <f>"星期三第1-3节{1-17周}"</f>
        <v>星期三第1-3节{1-17周}</v>
      </c>
      <c r="E265" s="7" t="str">
        <f>"李坤"</f>
        <v>李坤</v>
      </c>
      <c r="F265" s="7" t="str">
        <f>"杜秋蓓"</f>
        <v>杜秋蓓</v>
      </c>
      <c r="G265" s="7" t="str">
        <f>"224070100021"</f>
        <v>224070100021</v>
      </c>
    </row>
    <row r="266" ht="24" spans="1:7">
      <c r="A266" s="7">
        <v>264</v>
      </c>
      <c r="B266" s="7" t="str">
        <f t="shared" si="9"/>
        <v>数学学院</v>
      </c>
      <c r="C266" s="7" t="str">
        <f>"偏微分方程"</f>
        <v>偏微分方程</v>
      </c>
      <c r="D266" s="7" t="str">
        <f>"星期五第1-3节{1-17周}"</f>
        <v>星期五第1-3节{1-17周}</v>
      </c>
      <c r="E266" s="7" t="str">
        <f>"史斌斌"</f>
        <v>史斌斌</v>
      </c>
      <c r="F266" s="7" t="str">
        <f>"张燕琴"</f>
        <v>张燕琴</v>
      </c>
      <c r="G266" s="7" t="str">
        <f>"223020209003"</f>
        <v>223020209003</v>
      </c>
    </row>
    <row r="267" ht="36" spans="1:7">
      <c r="A267" s="7">
        <v>265</v>
      </c>
      <c r="B267" s="7" t="str">
        <f t="shared" si="9"/>
        <v>数学学院</v>
      </c>
      <c r="C267" s="7" t="str">
        <f>"数学分析Ⅰ"</f>
        <v>数学分析Ⅰ</v>
      </c>
      <c r="D267" s="7" t="str">
        <f>"星期二第10-12节{1-17周}，星期四第5-7节{1-17周}"</f>
        <v>星期二第10-12节{1-17周}，星期四第5-7节{1-17周}</v>
      </c>
      <c r="E267" s="7" t="str">
        <f>"史斌斌"</f>
        <v>史斌斌</v>
      </c>
      <c r="F267" s="7" t="str">
        <f>"刘雯"</f>
        <v>刘雯</v>
      </c>
      <c r="G267" s="7" t="str">
        <f>"123020208006"</f>
        <v>123020208006</v>
      </c>
    </row>
    <row r="268" ht="24" spans="1:7">
      <c r="A268" s="7">
        <v>266</v>
      </c>
      <c r="B268" s="7" t="str">
        <f t="shared" si="9"/>
        <v>数学学院</v>
      </c>
      <c r="C268" s="7" t="str">
        <f>"线性代数"</f>
        <v>线性代数</v>
      </c>
      <c r="D268" s="7" t="str">
        <f>"星期二第1-3节{1-17周}"</f>
        <v>星期二第1-3节{1-17周}</v>
      </c>
      <c r="E268" s="7" t="str">
        <f>"沈金叶"</f>
        <v>沈金叶</v>
      </c>
      <c r="F268" s="7" t="str">
        <f>"周冉"</f>
        <v>周冉</v>
      </c>
      <c r="G268" s="7" t="str">
        <f>"2240202Z1023"</f>
        <v>2240202Z1023</v>
      </c>
    </row>
    <row r="269" ht="24" spans="1:7">
      <c r="A269" s="7">
        <v>267</v>
      </c>
      <c r="B269" s="7" t="str">
        <f t="shared" si="9"/>
        <v>数学学院</v>
      </c>
      <c r="C269" s="7" t="str">
        <f>"数值分析"</f>
        <v>数值分析</v>
      </c>
      <c r="D269" s="7" t="str">
        <f>"星期二第10-12节{1-17周}"</f>
        <v>星期二第10-12节{1-17周}</v>
      </c>
      <c r="E269" s="7" t="str">
        <f>"沈金叶"</f>
        <v>沈金叶</v>
      </c>
      <c r="F269" s="7" t="str">
        <f>"曹佳龙"</f>
        <v>曹佳龙</v>
      </c>
      <c r="G269" s="7" t="str">
        <f>"223070100019"</f>
        <v>223070100019</v>
      </c>
    </row>
    <row r="270" ht="36" spans="1:7">
      <c r="A270" s="7">
        <v>268</v>
      </c>
      <c r="B270" s="7" t="str">
        <f t="shared" si="9"/>
        <v>数学学院</v>
      </c>
      <c r="C270" s="7" t="str">
        <f>"高等代数Ⅰ"</f>
        <v>高等代数Ⅰ</v>
      </c>
      <c r="D270" s="7" t="str">
        <f>"星期三第1-2节{1-17周}，星期五第3-4节{1-17周}"</f>
        <v>星期三第1-2节{1-17周}，星期五第3-4节{1-17周}</v>
      </c>
      <c r="E270" s="7" t="str">
        <f>"杜彬彬"</f>
        <v>杜彬彬</v>
      </c>
      <c r="F270" s="7" t="str">
        <f>"包成冬"</f>
        <v>包成冬</v>
      </c>
      <c r="G270" s="7" t="str">
        <f>"224070100004"</f>
        <v>224070100004</v>
      </c>
    </row>
    <row r="271" ht="36" spans="1:7">
      <c r="A271" s="7">
        <v>269</v>
      </c>
      <c r="B271" s="7" t="str">
        <f t="shared" si="9"/>
        <v>数学学院</v>
      </c>
      <c r="C271" s="7" t="str">
        <f>"概率论与数理统计A"</f>
        <v>概率论与数理统计A</v>
      </c>
      <c r="D271" s="7" t="str">
        <f>"星期二第3-4节{1-17周}，星期四第5-7节{1-17周}"</f>
        <v>星期二第3-4节{1-17周}，星期四第5-7节{1-17周}</v>
      </c>
      <c r="E271" s="7" t="str">
        <f>"徐凤"</f>
        <v>徐凤</v>
      </c>
      <c r="F271" s="7" t="str">
        <f>"曾志军"</f>
        <v>曾志军</v>
      </c>
      <c r="G271" s="7" t="str">
        <f>"224071400011"</f>
        <v>224071400011</v>
      </c>
    </row>
    <row r="272" ht="36" spans="1:7">
      <c r="A272" s="7">
        <v>270</v>
      </c>
      <c r="B272" s="7" t="str">
        <f t="shared" si="9"/>
        <v>数学学院</v>
      </c>
      <c r="C272" s="7" t="str">
        <f>"概率论与数理统计A"</f>
        <v>概率论与数理统计A</v>
      </c>
      <c r="D272" s="7" t="str">
        <f>"星期二第1-2节{1-17周}，星期四第1-3节{1-17周}"</f>
        <v>星期二第1-2节{1-17周}，星期四第1-3节{1-17周}</v>
      </c>
      <c r="E272" s="7" t="str">
        <f>"徐凤"</f>
        <v>徐凤</v>
      </c>
      <c r="F272" s="7" t="str">
        <f>"雒娟"</f>
        <v>雒娟</v>
      </c>
      <c r="G272" s="7" t="str">
        <f>"224070100015"</f>
        <v>224070100015</v>
      </c>
    </row>
    <row r="273" ht="36" spans="1:7">
      <c r="A273" s="7">
        <v>271</v>
      </c>
      <c r="B273" s="7" t="str">
        <f t="shared" si="9"/>
        <v>数学学院</v>
      </c>
      <c r="C273" s="7" t="str">
        <f>"数学分析Ⅰ"</f>
        <v>数学分析Ⅰ</v>
      </c>
      <c r="D273" s="7" t="str">
        <f>"星期二第1-3节{1-17周}，星期四第10-12节{1-17周}"</f>
        <v>星期二第1-3节{1-17周}，星期四第10-12节{1-17周}</v>
      </c>
      <c r="E273" s="7" t="str">
        <f>"鹿正阳"</f>
        <v>鹿正阳</v>
      </c>
      <c r="F273" s="7" t="str">
        <f>"周显凤"</f>
        <v>周显凤</v>
      </c>
      <c r="G273" s="7" t="str">
        <f>"223020204106"</f>
        <v>223020204106</v>
      </c>
    </row>
    <row r="274" ht="36" spans="1:7">
      <c r="A274" s="7">
        <v>272</v>
      </c>
      <c r="B274" s="7" t="str">
        <f t="shared" si="9"/>
        <v>数学学院</v>
      </c>
      <c r="C274" s="7" t="str">
        <f>"数学分析Ⅰ"</f>
        <v>数学分析Ⅰ</v>
      </c>
      <c r="D274" s="7" t="str">
        <f>"星期一第10-12节{1-17周}，星期三第1-3节{1-17周}"</f>
        <v>星期一第10-12节{1-17周}，星期三第1-3节{1-17周}</v>
      </c>
      <c r="E274" s="7" t="str">
        <f>"鹿正阳"</f>
        <v>鹿正阳</v>
      </c>
      <c r="F274" s="7" t="str">
        <f>"袁晨曦"</f>
        <v>袁晨曦</v>
      </c>
      <c r="G274" s="7" t="str">
        <f>"124020208002"</f>
        <v>124020208002</v>
      </c>
    </row>
    <row r="275" ht="36" spans="1:7">
      <c r="A275" s="7">
        <v>273</v>
      </c>
      <c r="B275" s="7" t="str">
        <f t="shared" si="9"/>
        <v>数学学院</v>
      </c>
      <c r="C275" s="7" t="str">
        <f>"高等数学Ⅰ"</f>
        <v>高等数学Ⅰ</v>
      </c>
      <c r="D275" s="7" t="str">
        <f>"星期一第8-9节{1-17周}，星期三第5-7节{1-17周}"</f>
        <v>星期一第8-9节{1-17周}，星期三第5-7节{1-17周}</v>
      </c>
      <c r="E275" s="7" t="str">
        <f>"王韦龙"</f>
        <v>王韦龙</v>
      </c>
      <c r="F275" s="7" t="str">
        <f>"刘恩琦"</f>
        <v>刘恩琦</v>
      </c>
      <c r="G275" s="7" t="str">
        <f>"224070100013"</f>
        <v>224070100013</v>
      </c>
    </row>
    <row r="276" ht="36" spans="1:7">
      <c r="A276" s="7">
        <v>274</v>
      </c>
      <c r="B276" s="7" t="str">
        <f t="shared" si="9"/>
        <v>数学学院</v>
      </c>
      <c r="C276" s="7" t="str">
        <f>"高等数学Ⅰ"</f>
        <v>高等数学Ⅰ</v>
      </c>
      <c r="D276" s="7" t="str">
        <f>"星期二第10-12节{1-17周}，星期四第5-6节{1-17周}"</f>
        <v>星期二第10-12节{1-17周}，星期四第5-6节{1-17周}</v>
      </c>
      <c r="E276" s="7" t="str">
        <f>"谢莹莹"</f>
        <v>谢莹莹</v>
      </c>
      <c r="F276" s="7" t="str">
        <f>"艾靖凯"</f>
        <v>艾靖凯</v>
      </c>
      <c r="G276" s="7" t="str">
        <f>"224070100003"</f>
        <v>224070100003</v>
      </c>
    </row>
    <row r="277" ht="36" spans="1:7">
      <c r="A277" s="7">
        <v>275</v>
      </c>
      <c r="B277" s="7" t="str">
        <f t="shared" si="9"/>
        <v>数学学院</v>
      </c>
      <c r="C277" s="7" t="str">
        <f>"高等数学Ⅰ"</f>
        <v>高等数学Ⅰ</v>
      </c>
      <c r="D277" s="7" t="str">
        <f>"星期二第1-2节{1-17周}，星期四第1-3节{1-17周}"</f>
        <v>星期二第1-2节{1-17周}，星期四第1-3节{1-17周}</v>
      </c>
      <c r="E277" s="7" t="str">
        <f>"谢莹莹"</f>
        <v>谢莹莹</v>
      </c>
      <c r="F277" s="7" t="str">
        <f>"罗鑫"</f>
        <v>罗鑫</v>
      </c>
      <c r="G277" s="7" t="str">
        <f>"224070100011"</f>
        <v>224070100011</v>
      </c>
    </row>
    <row r="278" ht="24" spans="1:7">
      <c r="A278" s="7">
        <v>276</v>
      </c>
      <c r="B278" s="7" t="str">
        <f t="shared" si="9"/>
        <v>数学学院</v>
      </c>
      <c r="C278" s="7" t="str">
        <f>"线性代数"</f>
        <v>线性代数</v>
      </c>
      <c r="D278" s="7" t="str">
        <f>"星期五第5-7节{1-17周}"</f>
        <v>星期五第5-7节{1-17周}</v>
      </c>
      <c r="E278" s="7" t="str">
        <f>"张昕"</f>
        <v>张昕</v>
      </c>
      <c r="F278" s="7" t="str">
        <f>"孙文娟"</f>
        <v>孙文娟</v>
      </c>
      <c r="G278" s="7" t="str">
        <f>"223070100025"</f>
        <v>223070100025</v>
      </c>
    </row>
    <row r="279" ht="24" spans="1:7">
      <c r="A279" s="7">
        <v>277</v>
      </c>
      <c r="B279" s="7" t="str">
        <f t="shared" si="9"/>
        <v>数学学院</v>
      </c>
      <c r="C279" s="7" t="str">
        <f>"线性代数"</f>
        <v>线性代数</v>
      </c>
      <c r="D279" s="7" t="str">
        <f>"星期四第1-3节{1-17周}"</f>
        <v>星期四第1-3节{1-17周}</v>
      </c>
      <c r="E279" s="7" t="str">
        <f>"林谦"</f>
        <v>林谦</v>
      </c>
      <c r="F279" s="7" t="str">
        <f>"邵淑亚"</f>
        <v>邵淑亚</v>
      </c>
      <c r="G279" s="7" t="str">
        <f>"2240202Z1003"</f>
        <v>2240202Z1003</v>
      </c>
    </row>
    <row r="280" ht="24" spans="1:7">
      <c r="A280" s="7">
        <v>278</v>
      </c>
      <c r="B280" s="7" t="str">
        <f t="shared" si="9"/>
        <v>数学学院</v>
      </c>
      <c r="C280" s="7" t="str">
        <f>"线性代数"</f>
        <v>线性代数</v>
      </c>
      <c r="D280" s="7" t="str">
        <f>"星期五第1-3节{1-17周}"</f>
        <v>星期五第1-3节{1-17周}</v>
      </c>
      <c r="E280" s="7" t="str">
        <f>"林谦"</f>
        <v>林谦</v>
      </c>
      <c r="F280" s="7" t="str">
        <f>"陈俊"</f>
        <v>陈俊</v>
      </c>
      <c r="G280" s="7" t="str">
        <f>"224070100005"</f>
        <v>224070100005</v>
      </c>
    </row>
    <row r="281" ht="48" spans="1:7">
      <c r="A281" s="7">
        <v>279</v>
      </c>
      <c r="B281" s="7" t="str">
        <f t="shared" si="9"/>
        <v>数学学院</v>
      </c>
      <c r="C281" s="7" t="str">
        <f>"数学分析Ⅰ"</f>
        <v>数学分析Ⅰ</v>
      </c>
      <c r="D281" s="7" t="str">
        <f>"星期一第10-12节{1-17周}，星期二第10-12节{1-17周}"</f>
        <v>星期一第10-12节{1-17周}，星期二第10-12节{1-17周}</v>
      </c>
      <c r="E281" s="7" t="str">
        <f>"刘伟"</f>
        <v>刘伟</v>
      </c>
      <c r="F281" s="7" t="str">
        <f>"董子溢"</f>
        <v>董子溢</v>
      </c>
      <c r="G281" s="7" t="str">
        <f>"2230202Z1013"</f>
        <v>2230202Z1013</v>
      </c>
    </row>
    <row r="282" ht="24" spans="1:7">
      <c r="A282" s="7">
        <v>280</v>
      </c>
      <c r="B282" s="7" t="str">
        <f t="shared" si="9"/>
        <v>数学学院</v>
      </c>
      <c r="C282" s="7" t="str">
        <f>"线性代数"</f>
        <v>线性代数</v>
      </c>
      <c r="D282" s="7" t="str">
        <f>"星期一第5-7节{1-17周}"</f>
        <v>星期一第5-7节{1-17周}</v>
      </c>
      <c r="E282" s="7" t="str">
        <f>"林谦"</f>
        <v>林谦</v>
      </c>
      <c r="F282" s="7" t="str">
        <f>"吴芬"</f>
        <v>吴芬</v>
      </c>
      <c r="G282" s="7" t="str">
        <f>"1210202Z9002"</f>
        <v>1210202Z9002</v>
      </c>
    </row>
    <row r="283" ht="36" spans="1:7">
      <c r="A283" s="7">
        <v>281</v>
      </c>
      <c r="B283" s="7" t="str">
        <f t="shared" si="9"/>
        <v>数学学院</v>
      </c>
      <c r="C283" s="7" t="str">
        <f>"高等数学Ⅰ"</f>
        <v>高等数学Ⅰ</v>
      </c>
      <c r="D283" s="7" t="str">
        <f>"星期一第5-6节{1-17周}，星期三第1-3节{1-17周}"</f>
        <v>星期一第5-6节{1-17周}，星期三第1-3节{1-17周}</v>
      </c>
      <c r="E283" s="7" t="str">
        <f>"王韦龙"</f>
        <v>王韦龙</v>
      </c>
      <c r="F283" s="7" t="str">
        <f>"王嗣杰"</f>
        <v>王嗣杰</v>
      </c>
      <c r="G283" s="7" t="str">
        <f>"224070100006"</f>
        <v>224070100006</v>
      </c>
    </row>
    <row r="284" ht="36" spans="1:7">
      <c r="A284" s="7">
        <v>282</v>
      </c>
      <c r="B284" s="7" t="str">
        <f t="shared" si="9"/>
        <v>数学学院</v>
      </c>
      <c r="C284" s="7" t="str">
        <f>"高等代数Ⅰ"</f>
        <v>高等代数Ⅰ</v>
      </c>
      <c r="D284" s="7" t="str">
        <f>"星期三第3-4节{1-17周}，星期五第1-2节{1-17周}"</f>
        <v>星期三第3-4节{1-17周}，星期五第1-2节{1-17周}</v>
      </c>
      <c r="E284" s="7" t="str">
        <f>"杜彬彬"</f>
        <v>杜彬彬</v>
      </c>
      <c r="F284" s="7" t="str">
        <f>"傅连吉"</f>
        <v>傅连吉</v>
      </c>
      <c r="G284" s="7" t="str">
        <f>"223070100005"</f>
        <v>223070100005</v>
      </c>
    </row>
    <row r="285" ht="24" spans="1:7">
      <c r="A285" s="7">
        <v>283</v>
      </c>
      <c r="B285" s="7" t="str">
        <f t="shared" si="9"/>
        <v>数学学院</v>
      </c>
      <c r="C285" s="7" t="str">
        <f>"线性代数"</f>
        <v>线性代数</v>
      </c>
      <c r="D285" s="7" t="str">
        <f>"星期五第1-3节{1-17周}"</f>
        <v>星期五第1-3节{1-17周}</v>
      </c>
      <c r="E285" s="7" t="str">
        <f>"张昕"</f>
        <v>张昕</v>
      </c>
      <c r="F285" s="7" t="str">
        <f>"魏志宏"</f>
        <v>魏志宏</v>
      </c>
      <c r="G285" s="7" t="str">
        <f>"122120100002"</f>
        <v>122120100002</v>
      </c>
    </row>
    <row r="286" ht="24" spans="1:7">
      <c r="A286" s="7">
        <v>284</v>
      </c>
      <c r="B286" s="7" t="str">
        <f t="shared" ref="B286:B301" si="11">"数学学院"</f>
        <v>数学学院</v>
      </c>
      <c r="C286" s="7" t="str">
        <f>"数值计算软件"</f>
        <v>数值计算软件</v>
      </c>
      <c r="D286" s="7" t="str">
        <f>"星期三第1-3节{1-17周}"</f>
        <v>星期三第1-3节{1-17周}</v>
      </c>
      <c r="E286" s="7" t="str">
        <f>"张昕"</f>
        <v>张昕</v>
      </c>
      <c r="F286" s="7" t="str">
        <f>"黄新月"</f>
        <v>黄新月</v>
      </c>
      <c r="G286" s="7" t="str">
        <f>"224070100016"</f>
        <v>224070100016</v>
      </c>
    </row>
    <row r="287" ht="24" spans="1:7">
      <c r="A287" s="7">
        <v>285</v>
      </c>
      <c r="B287" s="7" t="str">
        <f t="shared" si="11"/>
        <v>数学学院</v>
      </c>
      <c r="C287" s="7" t="str">
        <f>"线性代数"</f>
        <v>线性代数</v>
      </c>
      <c r="D287" s="7" t="str">
        <f>"星期四第5-7节{1-17周}"</f>
        <v>星期四第5-7节{1-17周}</v>
      </c>
      <c r="E287" s="7" t="str">
        <f>"李坤"</f>
        <v>李坤</v>
      </c>
      <c r="F287" s="7" t="str">
        <f>"罗巧妮"</f>
        <v>罗巧妮</v>
      </c>
      <c r="G287" s="7" t="str">
        <f>"223070100010"</f>
        <v>223070100010</v>
      </c>
    </row>
    <row r="288" ht="24" spans="1:7">
      <c r="A288" s="7">
        <v>286</v>
      </c>
      <c r="B288" s="7" t="str">
        <f t="shared" si="11"/>
        <v>数学学院</v>
      </c>
      <c r="C288" s="7" t="str">
        <f>"线性代数"</f>
        <v>线性代数</v>
      </c>
      <c r="D288" s="7" t="str">
        <f>"星期三第5-7节{1-17周}"</f>
        <v>星期三第5-7节{1-17周}</v>
      </c>
      <c r="E288" s="7" t="str">
        <f>"李坤"</f>
        <v>李坤</v>
      </c>
      <c r="F288" s="7" t="str">
        <f>"闫欢"</f>
        <v>闫欢</v>
      </c>
      <c r="G288" s="7" t="str">
        <f>"224070100009"</f>
        <v>224070100009</v>
      </c>
    </row>
    <row r="289" ht="36" spans="1:7">
      <c r="A289" s="7">
        <v>287</v>
      </c>
      <c r="B289" s="7" t="str">
        <f t="shared" si="11"/>
        <v>数学学院</v>
      </c>
      <c r="C289" s="7" t="str">
        <f>"高等代数Ⅰ（理科）"</f>
        <v>高等代数Ⅰ（理科）</v>
      </c>
      <c r="D289" s="7" t="str">
        <f>"星期二第3-4节{1-17周}，星期三第1-3节{1-17周}"</f>
        <v>星期二第3-4节{1-17周}，星期三第1-3节{1-17周}</v>
      </c>
      <c r="E289" s="7" t="str">
        <f>"赵建容"</f>
        <v>赵建容</v>
      </c>
      <c r="F289" s="7" t="str">
        <f>"李安"</f>
        <v>李安</v>
      </c>
      <c r="G289" s="7" t="str">
        <f>"224070100007"</f>
        <v>224070100007</v>
      </c>
    </row>
    <row r="290" ht="36" spans="1:7">
      <c r="A290" s="7">
        <v>288</v>
      </c>
      <c r="B290" s="7" t="str">
        <f t="shared" si="11"/>
        <v>数学学院</v>
      </c>
      <c r="C290" s="7" t="str">
        <f>"高等代数Ⅰ（理科）"</f>
        <v>高等代数Ⅰ（理科）</v>
      </c>
      <c r="D290" s="7" t="str">
        <f>"星期一第5-7节{1-17周}，星期二第1-2节{1-17周}"</f>
        <v>星期一第5-7节{1-17周}，星期二第1-2节{1-17周}</v>
      </c>
      <c r="E290" s="7" t="str">
        <f>"赵建容"</f>
        <v>赵建容</v>
      </c>
      <c r="F290" s="7" t="str">
        <f>"赵婉清"</f>
        <v>赵婉清</v>
      </c>
      <c r="G290" s="7" t="str">
        <f>"2230202Z2030"</f>
        <v>2230202Z2030</v>
      </c>
    </row>
    <row r="291" ht="36" spans="1:7">
      <c r="A291" s="7">
        <v>289</v>
      </c>
      <c r="B291" s="7" t="str">
        <f t="shared" si="11"/>
        <v>数学学院</v>
      </c>
      <c r="C291" s="7" t="str">
        <f>"高等代数Ⅰ"</f>
        <v>高等代数Ⅰ</v>
      </c>
      <c r="D291" s="7" t="str">
        <f>"星期一第8-9节{1-17周}，星期五第8-9节{1-17周}"</f>
        <v>星期一第8-9节{1-17周}，星期五第8-9节{1-17周}</v>
      </c>
      <c r="E291" s="7" t="str">
        <f>"曾嵘"</f>
        <v>曾嵘</v>
      </c>
      <c r="F291" s="7" t="str">
        <f>"靳英丹"</f>
        <v>靳英丹</v>
      </c>
      <c r="G291" s="7" t="str">
        <f>"123020204051"</f>
        <v>123020204051</v>
      </c>
    </row>
    <row r="292" ht="36" spans="1:7">
      <c r="A292" s="7">
        <v>290</v>
      </c>
      <c r="B292" s="7" t="str">
        <f t="shared" si="11"/>
        <v>数学学院</v>
      </c>
      <c r="C292" s="7" t="str">
        <f>"高等代数Ⅰ"</f>
        <v>高等代数Ⅰ</v>
      </c>
      <c r="D292" s="7" t="str">
        <f>"星期一第3-4节{1-17周}，星期三第3-4节{1-17周}"</f>
        <v>星期一第3-4节{1-17周}，星期三第3-4节{1-17周}</v>
      </c>
      <c r="E292" s="7" t="str">
        <f>"曾嵘"</f>
        <v>曾嵘</v>
      </c>
      <c r="F292" s="7" t="str">
        <f>"曾文黎"</f>
        <v>曾文黎</v>
      </c>
      <c r="G292" s="7" t="str">
        <f>"223070100015"</f>
        <v>223070100015</v>
      </c>
    </row>
    <row r="293" ht="36" spans="1:7">
      <c r="A293" s="7">
        <v>291</v>
      </c>
      <c r="B293" s="7" t="str">
        <f t="shared" si="11"/>
        <v>数学学院</v>
      </c>
      <c r="C293" s="7" t="str">
        <f>"高等代数Ⅰ"</f>
        <v>高等代数Ⅰ</v>
      </c>
      <c r="D293" s="7" t="str">
        <f>"星期三第8-9节{1-17周}，星期五第3-4节{1-17周}"</f>
        <v>星期三第8-9节{1-17周}，星期五第3-4节{1-17周}</v>
      </c>
      <c r="E293" s="7" t="str">
        <f>"曾嵘"</f>
        <v>曾嵘</v>
      </c>
      <c r="F293" s="7" t="str">
        <f>"刘杉芾"</f>
        <v>刘杉芾</v>
      </c>
      <c r="G293" s="7" t="str">
        <f>"223070100008"</f>
        <v>223070100008</v>
      </c>
    </row>
    <row r="294" ht="24" spans="1:7">
      <c r="A294" s="7">
        <v>292</v>
      </c>
      <c r="B294" s="7" t="str">
        <f t="shared" si="11"/>
        <v>数学学院</v>
      </c>
      <c r="C294" s="7" t="str">
        <f>"线性代数"</f>
        <v>线性代数</v>
      </c>
      <c r="D294" s="7" t="str">
        <f>"星期三第1-3节{1-17周}"</f>
        <v>星期三第1-3节{1-17周}</v>
      </c>
      <c r="E294" s="7" t="str">
        <f>"高雪梅"</f>
        <v>高雪梅</v>
      </c>
      <c r="F294" s="7" t="str">
        <f>"何雨盈"</f>
        <v>何雨盈</v>
      </c>
      <c r="G294" s="7" t="str">
        <f>"1230202J1002"</f>
        <v>1230202J1002</v>
      </c>
    </row>
    <row r="295" ht="24" spans="1:7">
      <c r="A295" s="7">
        <v>293</v>
      </c>
      <c r="B295" s="7" t="str">
        <f t="shared" si="11"/>
        <v>数学学院</v>
      </c>
      <c r="C295" s="7" t="str">
        <f>"线性代数"</f>
        <v>线性代数</v>
      </c>
      <c r="D295" s="7" t="str">
        <f>"星期四第1-3节{1-17周}"</f>
        <v>星期四第1-3节{1-17周}</v>
      </c>
      <c r="E295" s="7" t="str">
        <f>"高雪梅"</f>
        <v>高雪梅</v>
      </c>
      <c r="F295" s="7" t="str">
        <f>"曾启旺"</f>
        <v>曾启旺</v>
      </c>
      <c r="G295" s="7" t="str">
        <f>"223070100027"</f>
        <v>223070100027</v>
      </c>
    </row>
    <row r="296" ht="24" spans="1:7">
      <c r="A296" s="7">
        <v>294</v>
      </c>
      <c r="B296" s="7" t="str">
        <f t="shared" si="11"/>
        <v>数学学院</v>
      </c>
      <c r="C296" s="7" t="str">
        <f>"线性代数"</f>
        <v>线性代数</v>
      </c>
      <c r="D296" s="7" t="str">
        <f>"星期四第7-9节{1-17周}"</f>
        <v>星期四第7-9节{1-17周}</v>
      </c>
      <c r="E296" s="7" t="str">
        <f>"高雪梅"</f>
        <v>高雪梅</v>
      </c>
      <c r="F296" s="7" t="str">
        <f>"姚伟"</f>
        <v>姚伟</v>
      </c>
      <c r="G296" s="7" t="str">
        <f>"223070100006"</f>
        <v>223070100006</v>
      </c>
    </row>
    <row r="297" ht="36" spans="1:7">
      <c r="A297" s="7">
        <v>295</v>
      </c>
      <c r="B297" s="7" t="str">
        <f t="shared" si="11"/>
        <v>数学学院</v>
      </c>
      <c r="C297" s="7" t="str">
        <f>"数学分析Ⅰ（理科）"</f>
        <v>数学分析Ⅰ（理科）</v>
      </c>
      <c r="D297" s="7" t="str">
        <f>"星期二第1-3节{1-17周}，星期四第5-7节{1-17周}"</f>
        <v>星期二第1-3节{1-17周}，星期四第5-7节{1-17周}</v>
      </c>
      <c r="E297" s="7" t="str">
        <f>"邓汝良"</f>
        <v>邓汝良</v>
      </c>
      <c r="F297" s="7" t="str">
        <f>"温新语"</f>
        <v>温新语</v>
      </c>
      <c r="G297" s="7" t="str">
        <f>"223020204050"</f>
        <v>223020204050</v>
      </c>
    </row>
    <row r="298" ht="36" spans="1:7">
      <c r="A298" s="7">
        <v>296</v>
      </c>
      <c r="B298" s="7" t="str">
        <f t="shared" si="11"/>
        <v>数学学院</v>
      </c>
      <c r="C298" s="7" t="str">
        <f>"数学分析Ⅰ（理科）"</f>
        <v>数学分析Ⅰ（理科）</v>
      </c>
      <c r="D298" s="7" t="str">
        <f>"星期二第10-12节{1-17周}，星期四第1-3节{1-17周}"</f>
        <v>星期二第10-12节{1-17周}，星期四第1-3节{1-17周}</v>
      </c>
      <c r="E298" s="7" t="str">
        <f>"邓汝良"</f>
        <v>邓汝良</v>
      </c>
      <c r="F298" s="7" t="str">
        <f>"李桂鋆"</f>
        <v>李桂鋆</v>
      </c>
      <c r="G298" s="7" t="str">
        <f>"123020204013"</f>
        <v>123020204013</v>
      </c>
    </row>
    <row r="299" ht="24" spans="1:7">
      <c r="A299" s="7">
        <v>297</v>
      </c>
      <c r="B299" s="7" t="str">
        <f t="shared" si="11"/>
        <v>数学学院</v>
      </c>
      <c r="C299" s="7" t="str">
        <f>"线性代数"</f>
        <v>线性代数</v>
      </c>
      <c r="D299" s="7" t="str">
        <f>"星期三第5-7节{1-17周}"</f>
        <v>星期三第5-7节{1-17周}</v>
      </c>
      <c r="E299" s="7" t="str">
        <f>"张炜"</f>
        <v>张炜</v>
      </c>
      <c r="F299" s="7" t="str">
        <f>"刘峻可"</f>
        <v>刘峻可</v>
      </c>
      <c r="G299" s="7" t="str">
        <f>"224070100027"</f>
        <v>224070100027</v>
      </c>
    </row>
    <row r="300" ht="24" spans="1:7">
      <c r="A300" s="7">
        <v>298</v>
      </c>
      <c r="B300" s="7" t="str">
        <f t="shared" si="11"/>
        <v>数学学院</v>
      </c>
      <c r="C300" s="7" t="str">
        <f>"线性代数"</f>
        <v>线性代数</v>
      </c>
      <c r="D300" s="7" t="str">
        <f>"星期三第10-12节{1-17周}"</f>
        <v>星期三第10-12节{1-17周}</v>
      </c>
      <c r="E300" s="7" t="str">
        <f>"张炜"</f>
        <v>张炜</v>
      </c>
      <c r="F300" s="7" t="str">
        <f>"岳苏"</f>
        <v>岳苏</v>
      </c>
      <c r="G300" s="7" t="str">
        <f>"223070100018"</f>
        <v>223070100018</v>
      </c>
    </row>
    <row r="301" ht="36" spans="1:7">
      <c r="A301" s="7">
        <v>299</v>
      </c>
      <c r="B301" s="7" t="str">
        <f t="shared" si="11"/>
        <v>数学学院</v>
      </c>
      <c r="C301" s="7" t="str">
        <f>"概率论与数理统计A"</f>
        <v>概率论与数理统计A</v>
      </c>
      <c r="D301" s="7" t="str">
        <f>"星期三第1-2节{1-17周}，星期四第5-7节{1-17周}"</f>
        <v>星期三第1-2节{1-17周}，星期四第5-7节{1-17周}</v>
      </c>
      <c r="E301" s="7" t="str">
        <f>"王鸣晖"</f>
        <v>王鸣晖</v>
      </c>
      <c r="F301" s="7" t="str">
        <f>"吴祥麟"</f>
        <v>吴祥麟</v>
      </c>
      <c r="G301" s="7" t="str">
        <f>"1210202Z1003"</f>
        <v>1210202Z1003</v>
      </c>
    </row>
    <row r="302" ht="24" spans="1:7">
      <c r="A302" s="7">
        <v>300</v>
      </c>
      <c r="B302" s="7" t="str">
        <f>"特拉华数据科学学院"</f>
        <v>特拉华数据科学学院</v>
      </c>
      <c r="C302" s="7" t="str">
        <f>"宏观经济学（英）"</f>
        <v>宏观经济学（英）</v>
      </c>
      <c r="D302" s="7" t="str">
        <f>"星期一第1-3节{1-17周}"</f>
        <v>星期一第1-3节{1-17周}</v>
      </c>
      <c r="E302" s="7" t="str">
        <f>"李雪"</f>
        <v>李雪</v>
      </c>
      <c r="F302" s="7" t="str">
        <f>"薛宇峰"</f>
        <v>薛宇峰</v>
      </c>
      <c r="G302" s="7" t="str">
        <f>"124020204054"</f>
        <v>124020204054</v>
      </c>
    </row>
  </sheetData>
  <autoFilter ref="A2:G302">
    <extLst/>
  </autoFilter>
  <sortState ref="A2:G301">
    <sortCondition ref="B2:B301" customList="金融学院,中国金融研究院,经济学院,会计学院,统计与数据科学学院,工商管理学院,财政税务学院,国际商学院,经济与管理研究院,中国西部经济研究院,管理科学与工程学院,计算机与人工智能学院,法学院,外国语学院,公共管理学院,马克思主义学院,数学学院,人文与艺术学院,体育学院,社会发展研究院,特拉华数据科学学院,继续(网络)教育学院,西南财经大学培训中心,国际教育学院,北京研究院,西部商学院,出国留学预备学院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myexcel (13)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刘振东</cp:lastModifiedBy>
  <dcterms:created xsi:type="dcterms:W3CDTF">2025-07-18T06:51:00Z</dcterms:created>
  <dcterms:modified xsi:type="dcterms:W3CDTF">2025-07-18T07:36:40Z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KSOReadingLayout">
    <vt:bool>true</vt:bool>
  </property>
  <property fmtid="{D5CDD505-2E9C-101B-9397-08002B2CF9AE}" pid="4" name="ICV">
    <vt:lpwstr>C613C229C98D4E5E80F364D81C11395F</vt:lpwstr>
  </property>
</Properties>
</file>