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myexcel (3)" sheetId="1" r:id="rId1"/>
  </sheets>
  <definedNames>
    <definedName name="_xlnm._FilterDatabase" localSheetId="0" hidden="1">'myexcel (3)'!$A$2:$J$414</definedName>
  </definedNames>
  <calcPr calcId="144525"/>
</workbook>
</file>

<file path=xl/sharedStrings.xml><?xml version="1.0" encoding="utf-8"?>
<sst xmlns="http://schemas.openxmlformats.org/spreadsheetml/2006/main" count="123" uniqueCount="14">
  <si>
    <t>附件1:2024-2025-2学期本科课程教学助理名单</t>
  </si>
  <si>
    <t>序号</t>
  </si>
  <si>
    <t>学号</t>
  </si>
  <si>
    <t>姓名</t>
  </si>
  <si>
    <t>性别</t>
  </si>
  <si>
    <t>专业</t>
  </si>
  <si>
    <t>课程名称</t>
  </si>
  <si>
    <t>课程类型</t>
  </si>
  <si>
    <t>开课时间</t>
  </si>
  <si>
    <t>学院</t>
  </si>
  <si>
    <t>老师姓名</t>
  </si>
  <si>
    <t>数学学院</t>
  </si>
  <si>
    <t>计算机与人工智能学院</t>
  </si>
  <si>
    <t>财政税务学院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</si>
</sst>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22"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Arial Unicode MS"/>
      <charset val="134"/>
    </font>
    <font>
      <sz val="11"/>
      <color rgb="FF000000"/>
      <name val="宋体"/>
      <charset val="0"/>
    </font>
    <font>
      <sz val="11"/>
      <color rgb="FF3F3F76"/>
      <name val="宋体"/>
      <charset val="0"/>
    </font>
    <font>
      <sz val="11"/>
      <color rgb="FF9C0006"/>
      <name val="宋体"/>
      <charset val="0"/>
    </font>
    <font>
      <sz val="11"/>
      <color rgb="FFFFFFFF"/>
      <name val="宋体"/>
      <charset val="0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65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J414"/>
  <sheetViews>
    <sheetView showGridLines="0" tabSelected="1" workbookViewId="0">
      <selection activeCell="R10" sqref="R10"/>
    </sheetView>
  </sheetViews>
  <sheetFormatPr defaultColWidth="9" defaultRowHeight="13.5"/>
  <cols>
    <col min="1" max="1" width="9" customWidth="1"/>
    <col min="2" max="2" width="16.375" customWidth="1"/>
    <col min="3" max="3" width="7.25" customWidth="1"/>
    <col min="4" max="4" width="4.625" customWidth="1"/>
    <col min="5" max="5" width="10.125" customWidth="1"/>
    <col min="6" max="6" width="18.625" customWidth="1"/>
    <col min="7" max="7" width="7.875" customWidth="1"/>
    <col min="8" max="8" width="11.25" customWidth="1"/>
    <col min="9" max="9" width="15" customWidth="1"/>
    <col min="10" max="10" width="11.375" customWidth="1"/>
  </cols>
  <sheetData>
    <row r="1" ht="18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4" spans="1:10">
      <c r="A3" s="3">
        <v>1</v>
      </c>
      <c r="B3" s="3" t="str">
        <f>"224081200054"</f>
        <v>224081200054</v>
      </c>
      <c r="C3" s="3" t="str">
        <f>"王皓宇"</f>
        <v>王皓宇</v>
      </c>
      <c r="D3" s="3" t="str">
        <f>"男"</f>
        <v>男</v>
      </c>
      <c r="E3" s="3" t="str">
        <f>"计算机科学与技术"</f>
        <v>计算机科学与技术</v>
      </c>
      <c r="F3" s="3" t="str">
        <f>"人工智能与现代科技"</f>
        <v>人工智能与现代科技</v>
      </c>
      <c r="G3" s="3" t="str">
        <f>"通识基础课"</f>
        <v>通识基础课</v>
      </c>
      <c r="H3" s="3" t="str">
        <f>"周一第10，11节{第1-17周}"</f>
        <v>周一第10，11节{第1-17周}</v>
      </c>
      <c r="I3" s="3" t="str">
        <f>"计算机与人工智能学院"</f>
        <v>计算机与人工智能学院</v>
      </c>
      <c r="J3" s="3" t="str">
        <f>"潘宁宁"</f>
        <v>潘宁宁</v>
      </c>
    </row>
    <row r="4" ht="36" spans="1:10">
      <c r="A4" s="3">
        <v>2</v>
      </c>
      <c r="B4" s="3" t="str">
        <f>"122120100004"</f>
        <v>122120100004</v>
      </c>
      <c r="C4" s="3" t="str">
        <f>"李玲"</f>
        <v>李玲</v>
      </c>
      <c r="D4" s="3" t="str">
        <f>"女"</f>
        <v>女</v>
      </c>
      <c r="E4" s="3" t="str">
        <f>"管理科学与工程"</f>
        <v>管理科学与工程</v>
      </c>
      <c r="F4" s="3" t="str">
        <f>"程序设计及应用（Python）（英）"</f>
        <v>程序设计及应用（Python）（英）</v>
      </c>
      <c r="G4" s="3" t="str">
        <f>"通识基础课"</f>
        <v>通识基础课</v>
      </c>
      <c r="H4" s="3" t="str">
        <f>"周二第10，11，12节{第1-17周}"</f>
        <v>周二第10，11，12节{第1-17周}</v>
      </c>
      <c r="I4" s="3" t="str">
        <f>"管理科学与工程学院"</f>
        <v>管理科学与工程学院</v>
      </c>
      <c r="J4" s="3" t="str">
        <f>"马丹"</f>
        <v>马丹</v>
      </c>
    </row>
    <row r="5" ht="72" spans="1:10">
      <c r="A5" s="3">
        <v>3</v>
      </c>
      <c r="B5" s="3" t="str">
        <f>"1221202Z9006"</f>
        <v>1221202Z9006</v>
      </c>
      <c r="C5" s="3" t="str">
        <f>"张桂芳"</f>
        <v>张桂芳</v>
      </c>
      <c r="D5" s="3" t="str">
        <f>"女"</f>
        <v>女</v>
      </c>
      <c r="E5" s="3" t="str">
        <f>"物流与供应链管理"</f>
        <v>物流与供应链管理</v>
      </c>
      <c r="F5" s="3" t="str">
        <f>"高等数学Ⅱ"</f>
        <v>高等数学Ⅱ</v>
      </c>
      <c r="G5" s="3" t="str">
        <f>"通识基础课"</f>
        <v>通识基础课</v>
      </c>
      <c r="H5" s="3" t="str">
        <f>"周二第1，2节{第1-17周}，周四第5，6节{第1-17周}，周四第7节{第1-17周}"</f>
        <v>周二第1，2节{第1-17周}，周四第5，6节{第1-17周}，周四第7节{第1-17周}</v>
      </c>
      <c r="I5" s="3" t="s">
        <v>11</v>
      </c>
      <c r="J5" s="3" t="str">
        <f>"吴静"</f>
        <v>吴静</v>
      </c>
    </row>
    <row r="6" ht="48" spans="1:10">
      <c r="A6" s="3">
        <v>4</v>
      </c>
      <c r="B6" s="3" t="str">
        <f>"123020101003"</f>
        <v>123020101003</v>
      </c>
      <c r="C6" s="3" t="str">
        <f>"李晶维"</f>
        <v>李晶维</v>
      </c>
      <c r="D6" s="3" t="str">
        <f>"女"</f>
        <v>女</v>
      </c>
      <c r="E6" s="3" t="str">
        <f>"政治经济学"</f>
        <v>政治经济学</v>
      </c>
      <c r="F6" s="3" t="str">
        <f>"宏观经济学"</f>
        <v>宏观经济学</v>
      </c>
      <c r="G6" s="3" t="str">
        <f>"学科基础课"</f>
        <v>学科基础课</v>
      </c>
      <c r="H6" s="3" t="str">
        <f>"周一第1，2节{第1-17周}，周一第3节{第1-17周}"</f>
        <v>周一第1，2节{第1-17周}，周一第3节{第1-17周}</v>
      </c>
      <c r="I6" s="3" t="str">
        <f>"经济学院"</f>
        <v>经济学院</v>
      </c>
      <c r="J6" s="3" t="str">
        <f>"林熙"</f>
        <v>林熙</v>
      </c>
    </row>
    <row r="7" ht="24" spans="1:10">
      <c r="A7" s="3">
        <v>5</v>
      </c>
      <c r="B7" s="3" t="str">
        <f>"1220202Z5002"</f>
        <v>1220202Z5002</v>
      </c>
      <c r="C7" s="3" t="str">
        <f>"张紫霄"</f>
        <v>张紫霄</v>
      </c>
      <c r="D7" s="3" t="str">
        <f>"女"</f>
        <v>女</v>
      </c>
      <c r="E7" s="3" t="str">
        <f>"社会保险与经济保障"</f>
        <v>社会保险与经济保障</v>
      </c>
      <c r="F7" s="3" t="str">
        <f>"人工智能与现代科技"</f>
        <v>人工智能与现代科技</v>
      </c>
      <c r="G7" s="3" t="str">
        <f>"通识基础课"</f>
        <v>通识基础课</v>
      </c>
      <c r="H7" s="3" t="str">
        <f>"周五第8，9节{第1-17周}"</f>
        <v>周五第8，9节{第1-17周}</v>
      </c>
      <c r="I7" s="3" t="str">
        <f>"计算机与人工智能学院"</f>
        <v>计算机与人工智能学院</v>
      </c>
      <c r="J7" s="3" t="str">
        <f>"吕新昱"</f>
        <v>吕新昱</v>
      </c>
    </row>
    <row r="8" ht="36" spans="1:10">
      <c r="A8" s="3">
        <v>6</v>
      </c>
      <c r="B8" s="3" t="str">
        <f>"124120201002"</f>
        <v>124120201002</v>
      </c>
      <c r="C8" s="3" t="str">
        <f>"和振琪"</f>
        <v>和振琪</v>
      </c>
      <c r="D8" s="3" t="str">
        <f>"女"</f>
        <v>女</v>
      </c>
      <c r="E8" s="3" t="str">
        <f>"会计学"</f>
        <v>会计学</v>
      </c>
      <c r="F8" s="3" t="str">
        <f>"会计学"</f>
        <v>会计学</v>
      </c>
      <c r="G8" s="3" t="str">
        <f>"大类平台课"</f>
        <v>大类平台课</v>
      </c>
      <c r="H8" s="3" t="str">
        <f>"周四第10，11，12节{第1-17周}"</f>
        <v>周四第10，11，12节{第1-17周}</v>
      </c>
      <c r="I8" s="3" t="str">
        <f>"会计学院"</f>
        <v>会计学院</v>
      </c>
      <c r="J8" s="3" t="str">
        <f>"曹昱"</f>
        <v>曹昱</v>
      </c>
    </row>
    <row r="9" ht="24" spans="1:10">
      <c r="A9" s="3">
        <v>7</v>
      </c>
      <c r="B9" s="3" t="str">
        <f>"223081200052"</f>
        <v>223081200052</v>
      </c>
      <c r="C9" s="3" t="str">
        <f>"钟一"</f>
        <v>钟一</v>
      </c>
      <c r="D9" s="3" t="str">
        <f>"男"</f>
        <v>男</v>
      </c>
      <c r="E9" s="3" t="str">
        <f>"计算机科学与技术"</f>
        <v>计算机科学与技术</v>
      </c>
      <c r="F9" s="3" t="str">
        <f>"人工智能与现代科技"</f>
        <v>人工智能与现代科技</v>
      </c>
      <c r="G9" s="3" t="str">
        <f>"通识基础课"</f>
        <v>通识基础课</v>
      </c>
      <c r="H9" s="3" t="str">
        <f>"周四第10，11节{第1-17周}"</f>
        <v>周四第10，11节{第1-17周}</v>
      </c>
      <c r="I9" s="3" t="str">
        <f>"计算机与人工智能学院"</f>
        <v>计算机与人工智能学院</v>
      </c>
      <c r="J9" s="3" t="str">
        <f>"黄士罗"</f>
        <v>黄士罗</v>
      </c>
    </row>
    <row r="10" ht="36" spans="1:10">
      <c r="A10" s="3">
        <v>8</v>
      </c>
      <c r="B10" s="3" t="str">
        <f>"124020206008"</f>
        <v>124020206008</v>
      </c>
      <c r="C10" s="3" t="str">
        <f>"吕欣悦"</f>
        <v>吕欣悦</v>
      </c>
      <c r="D10" s="3" t="str">
        <f>"女"</f>
        <v>女</v>
      </c>
      <c r="E10" s="3" t="str">
        <f>"国际贸易学"</f>
        <v>国际贸易学</v>
      </c>
      <c r="F10" s="3" t="str">
        <f>"宏观经济学（双语）"</f>
        <v>宏观经济学（双语）</v>
      </c>
      <c r="G10" s="3" t="str">
        <f>"学科基础课"</f>
        <v>学科基础课</v>
      </c>
      <c r="H10" s="3" t="str">
        <f>"周二第10，11，12节{第1-17周}"</f>
        <v>周二第10，11，12节{第1-17周}</v>
      </c>
      <c r="I10" s="3" t="str">
        <f>"国际商学院"</f>
        <v>国际商学院</v>
      </c>
      <c r="J10" s="3" t="str">
        <f>"姚星"</f>
        <v>姚星</v>
      </c>
    </row>
    <row r="11" ht="36" spans="1:10">
      <c r="A11" s="3">
        <v>9</v>
      </c>
      <c r="B11" s="3" t="str">
        <f>"224020104003"</f>
        <v>224020104003</v>
      </c>
      <c r="C11" s="3" t="str">
        <f>"郭舒畅"</f>
        <v>郭舒畅</v>
      </c>
      <c r="D11" s="3" t="str">
        <f>"男"</f>
        <v>男</v>
      </c>
      <c r="E11" s="3" t="str">
        <f>"西方经济学"</f>
        <v>西方经济学</v>
      </c>
      <c r="F11" s="3" t="str">
        <f>"宏观经济学"</f>
        <v>宏观经济学</v>
      </c>
      <c r="G11" s="3" t="str">
        <f>"学科基础课"</f>
        <v>学科基础课</v>
      </c>
      <c r="H11" s="3" t="str">
        <f>"周一第10，11，12节{第1-17周}"</f>
        <v>周一第10，11，12节{第1-17周}</v>
      </c>
      <c r="I11" s="3" t="str">
        <f>"经济学院"</f>
        <v>经济学院</v>
      </c>
      <c r="J11" s="3" t="str">
        <f>"栾炳江"</f>
        <v>栾炳江</v>
      </c>
    </row>
    <row r="12" ht="24" spans="1:10">
      <c r="A12" s="3">
        <v>10</v>
      </c>
      <c r="B12" s="3" t="str">
        <f>"123020202004"</f>
        <v>123020202004</v>
      </c>
      <c r="C12" s="3" t="str">
        <f>"张晓龙"</f>
        <v>张晓龙</v>
      </c>
      <c r="D12" s="3" t="str">
        <f>"男"</f>
        <v>男</v>
      </c>
      <c r="E12" s="3" t="str">
        <f>"区域经济学"</f>
        <v>区域经济学</v>
      </c>
      <c r="F12" s="3" t="str">
        <f>"数字经济"</f>
        <v>数字经济</v>
      </c>
      <c r="G12" s="3" t="str">
        <f>"通识核心课"</f>
        <v>通识核心课</v>
      </c>
      <c r="H12" s="3" t="str">
        <f>"周四第8，9节{第1-17周}"</f>
        <v>周四第8，9节{第1-17周}</v>
      </c>
      <c r="I12" s="3" t="str">
        <f>"经济学院"</f>
        <v>经济学院</v>
      </c>
      <c r="J12" s="3" t="str">
        <f>"朱杰"</f>
        <v>朱杰</v>
      </c>
    </row>
    <row r="13" ht="48" spans="1:10">
      <c r="A13" s="3">
        <v>11</v>
      </c>
      <c r="B13" s="3" t="str">
        <f>"2231201Z5025"</f>
        <v>2231201Z5025</v>
      </c>
      <c r="C13" s="3" t="str">
        <f>"杨泽宇"</f>
        <v>杨泽宇</v>
      </c>
      <c r="D13" s="3" t="str">
        <f>"男"</f>
        <v>男</v>
      </c>
      <c r="E13" s="3" t="str">
        <f>"大数据管理"</f>
        <v>大数据管理</v>
      </c>
      <c r="F13" s="3" t="str">
        <f>"程序设计及应用（Python）"</f>
        <v>程序设计及应用（Python）</v>
      </c>
      <c r="G13" s="3" t="str">
        <f>"通识基础课"</f>
        <v>通识基础课</v>
      </c>
      <c r="H13" s="3" t="str">
        <f>"周三第1，2节{第1-17周}，周三第3节{第1-17周}"</f>
        <v>周三第1，2节{第1-17周}，周三第3节{第1-17周}</v>
      </c>
      <c r="I13" s="3" t="str">
        <f>"计算机与人工智能学院"</f>
        <v>计算机与人工智能学院</v>
      </c>
      <c r="J13" s="3" t="str">
        <f>"张英"</f>
        <v>张英</v>
      </c>
    </row>
    <row r="14" ht="72" spans="1:10">
      <c r="A14" s="3">
        <v>12</v>
      </c>
      <c r="B14" s="3" t="str">
        <f>"2240202Z1004"</f>
        <v>2240202Z1004</v>
      </c>
      <c r="C14" s="3" t="str">
        <f>"何惠珊"</f>
        <v>何惠珊</v>
      </c>
      <c r="D14" s="3" t="str">
        <f>"女"</f>
        <v>女</v>
      </c>
      <c r="E14" s="3" t="str">
        <f>"数理金融学"</f>
        <v>数理金融学</v>
      </c>
      <c r="F14" s="3" t="str">
        <f>"高等数学Ⅱ"</f>
        <v>高等数学Ⅱ</v>
      </c>
      <c r="G14" s="3" t="str">
        <f>"通识基础课"</f>
        <v>通识基础课</v>
      </c>
      <c r="H14" s="3" t="str">
        <f>"周三第1，2节{第1-17周}，周五第5，6节{第1-17周}，周五第7节{第1-17周}"</f>
        <v>周三第1，2节{第1-17周}，周五第5，6节{第1-17周}，周五第7节{第1-17周}</v>
      </c>
      <c r="I14" s="3" t="s">
        <v>11</v>
      </c>
      <c r="J14" s="3" t="str">
        <f>"余喜生"</f>
        <v>余喜生</v>
      </c>
    </row>
    <row r="15" ht="48" spans="1:10">
      <c r="A15" s="3">
        <v>13</v>
      </c>
      <c r="B15" s="3" t="str">
        <f>"1230202J4003"</f>
        <v>1230202J4003</v>
      </c>
      <c r="C15" s="3" t="str">
        <f>"方玉竹"</f>
        <v>方玉竹</v>
      </c>
      <c r="D15" s="3" t="str">
        <f>"男"</f>
        <v>男</v>
      </c>
      <c r="E15" s="3" t="str">
        <f>"公共经济制度与政策"</f>
        <v>公共经济制度与政策</v>
      </c>
      <c r="F15" s="3" t="str">
        <f>"微观经济学"</f>
        <v>微观经济学</v>
      </c>
      <c r="G15" s="3" t="str">
        <f>"通识基础课"</f>
        <v>通识基础课</v>
      </c>
      <c r="H15" s="3" t="str">
        <f>"周一第1，2节{第1-17周}，周一第3节{第1-17周}"</f>
        <v>周一第1，2节{第1-17周}，周一第3节{第1-17周}</v>
      </c>
      <c r="I15" s="3" t="str">
        <f>"工商管理学院"</f>
        <v>工商管理学院</v>
      </c>
      <c r="J15" s="3" t="str">
        <f>"李起铨"</f>
        <v>李起铨</v>
      </c>
    </row>
    <row r="16" ht="48" spans="1:10">
      <c r="A16" s="3">
        <v>14</v>
      </c>
      <c r="B16" s="3" t="str">
        <f>"2240202Z1018"</f>
        <v>2240202Z1018</v>
      </c>
      <c r="C16" s="3" t="str">
        <f>"张馨月"</f>
        <v>张馨月</v>
      </c>
      <c r="D16" s="3" t="str">
        <f>"女"</f>
        <v>女</v>
      </c>
      <c r="E16" s="3" t="str">
        <f>"数理金融学"</f>
        <v>数理金融学</v>
      </c>
      <c r="F16" s="3" t="str">
        <f>"高等代数Ⅱ"</f>
        <v>高等代数Ⅱ</v>
      </c>
      <c r="G16" s="3" t="str">
        <f>"通识基础课"</f>
        <v>通识基础课</v>
      </c>
      <c r="H16" s="3" t="str">
        <f>"周二第1，2节{第1-17周}，周三第1，2节{第1-17周}"</f>
        <v>周二第1，2节{第1-17周}，周三第1，2节{第1-17周}</v>
      </c>
      <c r="I16" s="3" t="str">
        <f>"数学学院"</f>
        <v>数学学院</v>
      </c>
      <c r="J16" s="3" t="str">
        <f>"陈轶骅"</f>
        <v>陈轶骅</v>
      </c>
    </row>
    <row r="17" ht="48" spans="1:10">
      <c r="A17" s="3">
        <v>15</v>
      </c>
      <c r="B17" s="3" t="str">
        <f>"2241201Z5030"</f>
        <v>2241201Z5030</v>
      </c>
      <c r="C17" s="3" t="str">
        <f>"韩喜童"</f>
        <v>韩喜童</v>
      </c>
      <c r="D17" s="3" t="str">
        <f>"女"</f>
        <v>女</v>
      </c>
      <c r="E17" s="3" t="str">
        <f>"大数据管理"</f>
        <v>大数据管理</v>
      </c>
      <c r="F17" s="3" t="str">
        <f>"程序设计及应用（Python）"</f>
        <v>程序设计及应用（Python）</v>
      </c>
      <c r="G17" s="3" t="str">
        <f>"通识基础课"</f>
        <v>通识基础课</v>
      </c>
      <c r="H17" s="3" t="str">
        <f>"周四第5，6节{第1-17周}，周四第7节{第1-17周}"</f>
        <v>周四第5，6节{第1-17周}，周四第7节{第1-17周}</v>
      </c>
      <c r="I17" s="3" t="s">
        <v>12</v>
      </c>
      <c r="J17" s="3" t="str">
        <f>"薛飞"</f>
        <v>薛飞</v>
      </c>
    </row>
    <row r="18" spans="1:10">
      <c r="A18" s="3">
        <v>16</v>
      </c>
      <c r="B18" s="3" t="str">
        <f>"123020209002"</f>
        <v>123020209002</v>
      </c>
      <c r="C18" s="3" t="str">
        <f>"王佳"</f>
        <v>王佳</v>
      </c>
      <c r="D18" s="3" t="str">
        <f>"女"</f>
        <v>女</v>
      </c>
      <c r="E18" s="3" t="str">
        <f>"数量经济学"</f>
        <v>数量经济学</v>
      </c>
      <c r="F18" s="3" t="str">
        <f>"数据采集技术MOOC"</f>
        <v>数据采集技术MOOC</v>
      </c>
      <c r="G18" s="3" t="str">
        <f>"慕课"</f>
        <v>慕课</v>
      </c>
      <c r="H18" s="3" t="str">
        <f>"2025年3-6月"</f>
        <v>2025年3-6月</v>
      </c>
      <c r="I18" s="3" t="str">
        <f>"统计学院"</f>
        <v>统计学院</v>
      </c>
      <c r="J18" s="3" t="str">
        <f>"夏怡凡"</f>
        <v>夏怡凡</v>
      </c>
    </row>
    <row r="19" ht="84" spans="1:10">
      <c r="A19" s="3">
        <v>17</v>
      </c>
      <c r="B19" s="3" t="str">
        <f>"1230202Z2006"</f>
        <v>1230202Z2006</v>
      </c>
      <c r="C19" s="3" t="str">
        <f>"杨杰"</f>
        <v>杨杰</v>
      </c>
      <c r="D19" s="3" t="str">
        <f>"男"</f>
        <v>男</v>
      </c>
      <c r="E19" s="3" t="str">
        <f>"金融工程"</f>
        <v>金融工程</v>
      </c>
      <c r="F19" s="3" t="str">
        <f>"数学分析Ⅱ"</f>
        <v>数学分析Ⅱ</v>
      </c>
      <c r="G19" s="3" t="str">
        <f>"通识基础课"</f>
        <v>通识基础课</v>
      </c>
      <c r="H19" s="3" t="str">
        <f>"周二第10，11，12节{第1-17周}，周四第1，2节{第1-17周}，周四第3节{第1-17周}"</f>
        <v>周二第10，11，12节{第1-17周}，周四第1，2节{第1-17周}，周四第3节{第1-17周}</v>
      </c>
      <c r="I19" s="3" t="s">
        <v>11</v>
      </c>
      <c r="J19" s="3" t="str">
        <f>"崔红卫"</f>
        <v>崔红卫</v>
      </c>
    </row>
    <row r="20" ht="36" spans="1:10">
      <c r="A20" s="3">
        <v>18</v>
      </c>
      <c r="B20" s="3" t="str">
        <f>"1221202Z6001"</f>
        <v>1221202Z6001</v>
      </c>
      <c r="C20" s="3" t="str">
        <f>"刘天红"</f>
        <v>刘天红</v>
      </c>
      <c r="D20" s="3" t="str">
        <f>"女"</f>
        <v>女</v>
      </c>
      <c r="E20" s="3" t="str">
        <f>"财务管理"</f>
        <v>财务管理</v>
      </c>
      <c r="F20" s="3" t="str">
        <f>"会计学"</f>
        <v>会计学</v>
      </c>
      <c r="G20" s="3" t="str">
        <f>"学科基础课"</f>
        <v>学科基础课</v>
      </c>
      <c r="H20" s="3" t="str">
        <f>"周四第10，11，12节{第1-17周}"</f>
        <v>周四第10，11，12节{第1-17周}</v>
      </c>
      <c r="I20" s="3" t="str">
        <f>"会计学院"</f>
        <v>会计学院</v>
      </c>
      <c r="J20" s="3" t="str">
        <f>"许楠"</f>
        <v>许楠</v>
      </c>
    </row>
    <row r="21" ht="36" spans="1:10">
      <c r="A21" s="3">
        <v>19</v>
      </c>
      <c r="B21" s="3" t="str">
        <f>"224020209013"</f>
        <v>224020209013</v>
      </c>
      <c r="C21" s="3" t="str">
        <f>"苏珂"</f>
        <v>苏珂</v>
      </c>
      <c r="D21" s="3" t="str">
        <f>"女"</f>
        <v>女</v>
      </c>
      <c r="E21" s="3" t="str">
        <f>"数量经济学"</f>
        <v>数量经济学</v>
      </c>
      <c r="F21" s="3" t="str">
        <f>"数理统计(双语）"</f>
        <v>数理统计(双语）</v>
      </c>
      <c r="G21" s="3" t="str">
        <f>"大学科基础课"</f>
        <v>大学科基础课</v>
      </c>
      <c r="H21" s="3" t="str">
        <f>"周四第10，11，12节{第1-17周}"</f>
        <v>周四第10，11，12节{第1-17周}</v>
      </c>
      <c r="I21" s="3" t="str">
        <f>"统计学院"</f>
        <v>统计学院</v>
      </c>
      <c r="J21" s="3" t="str">
        <f>"凌星"</f>
        <v>凌星</v>
      </c>
    </row>
    <row r="22" ht="48" spans="1:10">
      <c r="A22" s="3">
        <v>20</v>
      </c>
      <c r="B22" s="3" t="str">
        <f>"124020209005"</f>
        <v>124020209005</v>
      </c>
      <c r="C22" s="3" t="str">
        <f>"郭梦霞"</f>
        <v>郭梦霞</v>
      </c>
      <c r="D22" s="3" t="str">
        <f>"女"</f>
        <v>女</v>
      </c>
      <c r="E22" s="3" t="str">
        <f>"数量经济学"</f>
        <v>数量经济学</v>
      </c>
      <c r="F22" s="3" t="str">
        <f>"程序设计与python应用"</f>
        <v>程序设计与python应用</v>
      </c>
      <c r="G22" s="3" t="str">
        <f>"通识基础课"</f>
        <v>通识基础课</v>
      </c>
      <c r="H22" s="3" t="str">
        <f>"周一第5，6节{第1-17周}，周一第7节{第1-17周}"</f>
        <v>周一第5，6节{第1-17周}，周一第7节{第1-17周}</v>
      </c>
      <c r="I22" s="3" t="str">
        <f>"管理科学与工程学院"</f>
        <v>管理科学与工程学院</v>
      </c>
      <c r="J22" s="3" t="str">
        <f>"李瑾坤"</f>
        <v>李瑾坤</v>
      </c>
    </row>
    <row r="23" ht="72" spans="1:10">
      <c r="A23" s="3">
        <v>21</v>
      </c>
      <c r="B23" s="3" t="str">
        <f>"1241201Z5009"</f>
        <v>1241201Z5009</v>
      </c>
      <c r="C23" s="3" t="str">
        <f>"姚治佳"</f>
        <v>姚治佳</v>
      </c>
      <c r="D23" s="3" t="str">
        <f>"女"</f>
        <v>女</v>
      </c>
      <c r="E23" s="3" t="str">
        <f>"大数据管理"</f>
        <v>大数据管理</v>
      </c>
      <c r="F23" s="3" t="str">
        <f>"高等数学Ⅱ"</f>
        <v>高等数学Ⅱ</v>
      </c>
      <c r="G23" s="3" t="str">
        <f>"通识基础课"</f>
        <v>通识基础课</v>
      </c>
      <c r="H23" s="3" t="str">
        <f>"周一第1，2节{第1-17周}，周三第1，2节{第1-17周}，周三第3节{第1-17周}"</f>
        <v>周一第1，2节{第1-17周}，周三第1，2节{第1-17周}，周三第3节{第1-17周}</v>
      </c>
      <c r="I23" s="3" t="str">
        <f>"数学学院"</f>
        <v>数学学院</v>
      </c>
      <c r="J23" s="3" t="str">
        <f>"王祥"</f>
        <v>王祥</v>
      </c>
    </row>
    <row r="24" ht="36" spans="1:10">
      <c r="A24" s="3">
        <v>22</v>
      </c>
      <c r="B24" s="3" t="str">
        <f>"123020205002"</f>
        <v>123020205002</v>
      </c>
      <c r="C24" s="3" t="str">
        <f>"彭伟"</f>
        <v>彭伟</v>
      </c>
      <c r="D24" s="3" t="str">
        <f>"男"</f>
        <v>男</v>
      </c>
      <c r="E24" s="3" t="str">
        <f>"产业经济学"</f>
        <v>产业经济学</v>
      </c>
      <c r="F24" s="3" t="str">
        <f>"微观经济学（英）"</f>
        <v>微观经济学（英）</v>
      </c>
      <c r="G24" s="3" t="str">
        <f>"学科基础课"</f>
        <v>学科基础课</v>
      </c>
      <c r="H24" s="3" t="str">
        <f>"周四第10，11，12节{第1-17周}"</f>
        <v>周四第10，11，12节{第1-17周}</v>
      </c>
      <c r="I24" s="3" t="str">
        <f>"工商管理学院"</f>
        <v>工商管理学院</v>
      </c>
      <c r="J24" s="3" t="str">
        <f>"董大鑫"</f>
        <v>董大鑫</v>
      </c>
    </row>
    <row r="25" ht="24" spans="1:10">
      <c r="A25" s="3">
        <v>23</v>
      </c>
      <c r="B25" s="3" t="str">
        <f>"122120201003"</f>
        <v>122120201003</v>
      </c>
      <c r="C25" s="3" t="str">
        <f>"杨钧杰"</f>
        <v>杨钧杰</v>
      </c>
      <c r="D25" s="3" t="str">
        <f>"男"</f>
        <v>男</v>
      </c>
      <c r="E25" s="3" t="str">
        <f>"会计学"</f>
        <v>会计学</v>
      </c>
      <c r="F25" s="3" t="str">
        <f>"中级财务会计II（英）MOOC"</f>
        <v>中级财务会计II（英）MOOC</v>
      </c>
      <c r="G25" s="3" t="str">
        <f>"慕课"</f>
        <v>慕课</v>
      </c>
      <c r="H25" s="3" t="str">
        <f>"2025年3-6月"</f>
        <v>2025年3-6月</v>
      </c>
      <c r="I25" s="3" t="str">
        <f>"会计学院"</f>
        <v>会计学院</v>
      </c>
      <c r="J25" s="3" t="str">
        <f>"王雨诗"</f>
        <v>王雨诗</v>
      </c>
    </row>
    <row r="26" ht="48" spans="1:10">
      <c r="A26" s="3">
        <v>24</v>
      </c>
      <c r="B26" s="3" t="str">
        <f>"121020103001"</f>
        <v>121020103001</v>
      </c>
      <c r="C26" s="3" t="str">
        <f>"石继红"</f>
        <v>石继红</v>
      </c>
      <c r="D26" s="3" t="str">
        <f>"女"</f>
        <v>女</v>
      </c>
      <c r="E26" s="3" t="str">
        <f>"经济史"</f>
        <v>经济史</v>
      </c>
      <c r="F26" s="3" t="str">
        <f>"微观经济学"</f>
        <v>微观经济学</v>
      </c>
      <c r="G26" s="3" t="str">
        <f>"学科基础课"</f>
        <v>学科基础课</v>
      </c>
      <c r="H26" s="3" t="str">
        <f>"周三第5，6节{第1-17周}，周三第7节{第1-17周}"</f>
        <v>周三第5，6节{第1-17周}，周三第7节{第1-17周}</v>
      </c>
      <c r="I26" s="3" t="str">
        <f>"经济学院"</f>
        <v>经济学院</v>
      </c>
      <c r="J26" s="3" t="str">
        <f>"李元哲"</f>
        <v>李元哲</v>
      </c>
    </row>
    <row r="27" ht="36" spans="1:10">
      <c r="A27" s="3">
        <v>25</v>
      </c>
      <c r="B27" s="3" t="str">
        <f>"123070100007"</f>
        <v>123070100007</v>
      </c>
      <c r="C27" s="3" t="str">
        <f>"毕快"</f>
        <v>毕快</v>
      </c>
      <c r="D27" s="3" t="str">
        <f>"男"</f>
        <v>男</v>
      </c>
      <c r="E27" s="3" t="str">
        <f>"数学"</f>
        <v>数学</v>
      </c>
      <c r="F27" s="3" t="str">
        <f>"偏微分方程"</f>
        <v>偏微分方程</v>
      </c>
      <c r="G27" s="3" t="str">
        <f>"自由选修课"</f>
        <v>自由选修课</v>
      </c>
      <c r="H27" s="3" t="str">
        <f>"周四第7，8，9节{第1-17周}"</f>
        <v>周四第7，8，9节{第1-17周}</v>
      </c>
      <c r="I27" s="3" t="str">
        <f>"数学学院"</f>
        <v>数学学院</v>
      </c>
      <c r="J27" s="3" t="str">
        <f>"赵铭锋"</f>
        <v>赵铭锋</v>
      </c>
    </row>
    <row r="28" ht="36" spans="1:10">
      <c r="A28" s="3">
        <v>26</v>
      </c>
      <c r="B28" s="3" t="str">
        <f>"124020104007"</f>
        <v>124020104007</v>
      </c>
      <c r="C28" s="3" t="str">
        <f>"刘婧仪"</f>
        <v>刘婧仪</v>
      </c>
      <c r="D28" s="3" t="str">
        <f>"女"</f>
        <v>女</v>
      </c>
      <c r="E28" s="3" t="str">
        <f>"西方经济学"</f>
        <v>西方经济学</v>
      </c>
      <c r="F28" s="3" t="str">
        <f>"高级微观经济学Ⅰ"</f>
        <v>高级微观经济学Ⅰ</v>
      </c>
      <c r="G28" s="3" t="str">
        <f>"专业必修课"</f>
        <v>专业必修课</v>
      </c>
      <c r="H28" s="3" t="str">
        <f>"周二第10，11，12节{第1-17周}"</f>
        <v>周二第10，11，12节{第1-17周}</v>
      </c>
      <c r="I28" s="3" t="str">
        <f>"经济学院"</f>
        <v>经济学院</v>
      </c>
      <c r="J28" s="3" t="str">
        <f>"甘雨"</f>
        <v>甘雨</v>
      </c>
    </row>
    <row r="29" ht="24" spans="1:10">
      <c r="A29" s="3">
        <v>27</v>
      </c>
      <c r="B29" s="3" t="str">
        <f>"224020204008"</f>
        <v>224020204008</v>
      </c>
      <c r="C29" s="3" t="str">
        <f>"梁卫霞"</f>
        <v>梁卫霞</v>
      </c>
      <c r="D29" s="3" t="str">
        <f>"女"</f>
        <v>女</v>
      </c>
      <c r="E29" s="3" t="str">
        <f>"金融学"</f>
        <v>金融学</v>
      </c>
      <c r="F29" s="3" t="str">
        <f>"Corporate FinanceMOOC"</f>
        <v>Corporate FinanceMOOC</v>
      </c>
      <c r="G29" s="3" t="str">
        <f>"慕课"</f>
        <v>慕课</v>
      </c>
      <c r="H29" s="3" t="str">
        <f>"2025年3-6月"</f>
        <v>2025年3-6月</v>
      </c>
      <c r="I29" s="3" t="str">
        <f>"金融学院"</f>
        <v>金融学院</v>
      </c>
      <c r="J29" s="3" t="str">
        <f>"许志"</f>
        <v>许志</v>
      </c>
    </row>
    <row r="30" ht="24" spans="1:10">
      <c r="A30" s="3">
        <v>28</v>
      </c>
      <c r="B30" s="3" t="str">
        <f>"1201202Z1006"</f>
        <v>1201202Z1006</v>
      </c>
      <c r="C30" s="3" t="str">
        <f>"何娟"</f>
        <v>何娟</v>
      </c>
      <c r="D30" s="3" t="str">
        <f>"女"</f>
        <v>女</v>
      </c>
      <c r="E30" s="3" t="str">
        <f>"国际商务"</f>
        <v>国际商务</v>
      </c>
      <c r="F30" s="3" t="str">
        <f>"国际商务理论与在中国的应用MOOC"</f>
        <v>国际商务理论与在中国的应用MOOC</v>
      </c>
      <c r="G30" s="3" t="str">
        <f>"慕课"</f>
        <v>慕课</v>
      </c>
      <c r="H30" s="3" t="str">
        <f>"2025年3-6月"</f>
        <v>2025年3-6月</v>
      </c>
      <c r="I30" s="3" t="str">
        <f>"国际商学院"</f>
        <v>国际商学院</v>
      </c>
      <c r="J30" s="3" t="str">
        <f>"王珏"</f>
        <v>王珏</v>
      </c>
    </row>
    <row r="31" ht="48" spans="1:10">
      <c r="A31" s="3">
        <v>29</v>
      </c>
      <c r="B31" s="3" t="str">
        <f>"224070100012"</f>
        <v>224070100012</v>
      </c>
      <c r="C31" s="3" t="str">
        <f>"朱健强"</f>
        <v>朱健强</v>
      </c>
      <c r="D31" s="3" t="str">
        <f>"男"</f>
        <v>男</v>
      </c>
      <c r="E31" s="3" t="str">
        <f>"数学"</f>
        <v>数学</v>
      </c>
      <c r="F31" s="3" t="str">
        <f>"数值分析"</f>
        <v>数值分析</v>
      </c>
      <c r="G31" s="3" t="str">
        <f>"专业必修课"</f>
        <v>专业必修课</v>
      </c>
      <c r="H31" s="3" t="str">
        <f>"周三第7节{第1-17周}，周三第8，9节{第1-17周}"</f>
        <v>周三第7节{第1-17周}，周三第8，9节{第1-17周}</v>
      </c>
      <c r="I31" s="3" t="str">
        <f>"数学学院"</f>
        <v>数学学院</v>
      </c>
      <c r="J31" s="3" t="str">
        <f>"章丽"</f>
        <v>章丽</v>
      </c>
    </row>
    <row r="32" ht="84" spans="1:10">
      <c r="A32" s="3">
        <v>30</v>
      </c>
      <c r="B32" s="3" t="str">
        <f>"224070100003"</f>
        <v>224070100003</v>
      </c>
      <c r="C32" s="3" t="str">
        <f>"艾靖凯"</f>
        <v>艾靖凯</v>
      </c>
      <c r="D32" s="3" t="str">
        <f>"男"</f>
        <v>男</v>
      </c>
      <c r="E32" s="3" t="str">
        <f>"数学"</f>
        <v>数学</v>
      </c>
      <c r="F32" s="3" t="str">
        <f>"高等数学Ⅱ"</f>
        <v>高等数学Ⅱ</v>
      </c>
      <c r="G32" s="3" t="str">
        <f>"通识基础课"</f>
        <v>通识基础课</v>
      </c>
      <c r="H32" s="3" t="str">
        <f>"周二第10，11节{第1-17周}，周四第5，6节{第1-17周}，周四第7节{第1-17周}"</f>
        <v>周二第10，11节{第1-17周}，周四第5，6节{第1-17周}，周四第7节{第1-17周}</v>
      </c>
      <c r="I32" s="3" t="str">
        <f>"数学学院"</f>
        <v>数学学院</v>
      </c>
      <c r="J32" s="3" t="str">
        <f>"谢莹莹"</f>
        <v>谢莹莹</v>
      </c>
    </row>
    <row r="33" ht="48" spans="1:10">
      <c r="A33" s="3">
        <v>31</v>
      </c>
      <c r="B33" s="3" t="str">
        <f>"124020205001"</f>
        <v>124020205001</v>
      </c>
      <c r="C33" s="3" t="str">
        <f>"邱露"</f>
        <v>邱露</v>
      </c>
      <c r="D33" s="3" t="str">
        <f>"女"</f>
        <v>女</v>
      </c>
      <c r="E33" s="3" t="str">
        <f>"产业经济学"</f>
        <v>产业经济学</v>
      </c>
      <c r="F33" s="3" t="str">
        <f>"微观经济学"</f>
        <v>微观经济学</v>
      </c>
      <c r="G33" s="3" t="str">
        <f>"通识基础课"</f>
        <v>通识基础课</v>
      </c>
      <c r="H33" s="3" t="str">
        <f>"周一第5，6节{第1-17周}，周一第7节{第1-17周}"</f>
        <v>周一第5，6节{第1-17周}，周一第7节{第1-17周}</v>
      </c>
      <c r="I33" s="3" t="str">
        <f>"工商管理学院"</f>
        <v>工商管理学院</v>
      </c>
      <c r="J33" s="3" t="str">
        <f>"袁鹏"</f>
        <v>袁鹏</v>
      </c>
    </row>
    <row r="34" spans="1:10">
      <c r="A34" s="3">
        <v>32</v>
      </c>
      <c r="B34" s="3" t="str">
        <f>"224020204025"</f>
        <v>224020204025</v>
      </c>
      <c r="C34" s="3" t="str">
        <f>"林丽红"</f>
        <v>林丽红</v>
      </c>
      <c r="D34" s="3" t="str">
        <f>"女"</f>
        <v>女</v>
      </c>
      <c r="E34" s="3" t="str">
        <f>"金融学"</f>
        <v>金融学</v>
      </c>
      <c r="F34" s="3" t="str">
        <f>"公司金融学MOOC"</f>
        <v>公司金融学MOOC</v>
      </c>
      <c r="G34" s="3" t="str">
        <f>"慕课"</f>
        <v>慕课</v>
      </c>
      <c r="H34" s="3" t="str">
        <f>"2025年3-6月"</f>
        <v>2025年3-6月</v>
      </c>
      <c r="I34" s="3" t="str">
        <f>"金融学院"</f>
        <v>金融学院</v>
      </c>
      <c r="J34" s="3" t="str">
        <f>"许志"</f>
        <v>许志</v>
      </c>
    </row>
    <row r="35" ht="48" spans="1:10">
      <c r="A35" s="3">
        <v>33</v>
      </c>
      <c r="B35" s="3" t="str">
        <f>"124070100005"</f>
        <v>124070100005</v>
      </c>
      <c r="C35" s="3" t="str">
        <f>"刘森"</f>
        <v>刘森</v>
      </c>
      <c r="D35" s="3" t="str">
        <f>"男"</f>
        <v>男</v>
      </c>
      <c r="E35" s="3" t="str">
        <f>"数学"</f>
        <v>数学</v>
      </c>
      <c r="F35" s="3" t="str">
        <f>"偏微分方程（英文）"</f>
        <v>偏微分方程（英文）</v>
      </c>
      <c r="G35" s="3" t="str">
        <f>"专业方向课"</f>
        <v>专业方向课</v>
      </c>
      <c r="H35" s="3" t="str">
        <f>"周五第1，2节{第1-17周}，周五第3节{第1-17周}"</f>
        <v>周五第1，2节{第1-17周}，周五第3节{第1-17周}</v>
      </c>
      <c r="I35" s="3" t="s">
        <v>11</v>
      </c>
      <c r="J35" s="3" t="str">
        <f>"梁之磊"</f>
        <v>梁之磊</v>
      </c>
    </row>
    <row r="36" ht="48" spans="1:10">
      <c r="A36" s="3">
        <v>34</v>
      </c>
      <c r="B36" s="3" t="str">
        <f>"223071400010"</f>
        <v>223071400010</v>
      </c>
      <c r="C36" s="3" t="str">
        <f>"李佳佳"</f>
        <v>李佳佳</v>
      </c>
      <c r="D36" s="3" t="str">
        <f>"女"</f>
        <v>女</v>
      </c>
      <c r="E36" s="3" t="str">
        <f>"统计学"</f>
        <v>统计学</v>
      </c>
      <c r="F36" s="3" t="str">
        <f>"程序设计与科学计算"</f>
        <v>程序设计与科学计算</v>
      </c>
      <c r="G36" s="3" t="str">
        <f>"学科基础课"</f>
        <v>学科基础课</v>
      </c>
      <c r="H36" s="3" t="str">
        <f>"周三第5，6节{第1-17周}，周三第7节{第1-17周}"</f>
        <v>周三第5，6节{第1-17周}，周三第7节{第1-17周}</v>
      </c>
      <c r="I36" s="3" t="str">
        <f>"统计学院"</f>
        <v>统计学院</v>
      </c>
      <c r="J36" s="3" t="str">
        <f>"戴明伟"</f>
        <v>戴明伟</v>
      </c>
    </row>
    <row r="37" ht="72" spans="1:10">
      <c r="A37" s="3">
        <v>35</v>
      </c>
      <c r="B37" s="3" t="str">
        <f>"2230202Z1007"</f>
        <v>2230202Z1007</v>
      </c>
      <c r="C37" s="3" t="str">
        <f>"宋卓阳"</f>
        <v>宋卓阳</v>
      </c>
      <c r="D37" s="3" t="str">
        <f>"男"</f>
        <v>男</v>
      </c>
      <c r="E37" s="3" t="str">
        <f>"数理金融学"</f>
        <v>数理金融学</v>
      </c>
      <c r="F37" s="3" t="str">
        <f>"高等数学Ⅱ"</f>
        <v>高等数学Ⅱ</v>
      </c>
      <c r="G37" s="3" t="str">
        <f>"通识基础课"</f>
        <v>通识基础课</v>
      </c>
      <c r="H37" s="3" t="str">
        <f>"周三第3，4节{第1-17周}，周五第1，2节{第1-17周}，周五第3节{第1-17周}"</f>
        <v>周三第3，4节{第1-17周}，周五第1，2节{第1-17周}，周五第3节{第1-17周}</v>
      </c>
      <c r="I37" s="3" t="s">
        <v>11</v>
      </c>
      <c r="J37" s="3" t="str">
        <f>"张清邦"</f>
        <v>张清邦</v>
      </c>
    </row>
    <row r="38" ht="48" spans="1:10">
      <c r="A38" s="3">
        <v>36</v>
      </c>
      <c r="B38" s="3" t="str">
        <f>"2240202Z1021"</f>
        <v>2240202Z1021</v>
      </c>
      <c r="C38" s="3" t="str">
        <f>"张书翰"</f>
        <v>张书翰</v>
      </c>
      <c r="D38" s="3" t="str">
        <f>"男"</f>
        <v>男</v>
      </c>
      <c r="E38" s="3" t="str">
        <f>"数理金融学"</f>
        <v>数理金融学</v>
      </c>
      <c r="F38" s="3" t="str">
        <f>"高等代数Ⅱ（理科）"</f>
        <v>高等代数Ⅱ（理科）</v>
      </c>
      <c r="G38" s="3" t="str">
        <f>"通识基础课"</f>
        <v>通识基础课</v>
      </c>
      <c r="H38" s="3" t="str">
        <f>"周一第1，2节{第1-17周}，周二第3，4节{第1-17周}"</f>
        <v>周一第1，2节{第1-17周}，周二第3，4节{第1-17周}</v>
      </c>
      <c r="I38" s="3" t="s">
        <v>11</v>
      </c>
      <c r="J38" s="3" t="str">
        <f>"赵建容"</f>
        <v>赵建容</v>
      </c>
    </row>
    <row r="39" ht="48" spans="1:10">
      <c r="A39" s="3">
        <v>37</v>
      </c>
      <c r="B39" s="3" t="str">
        <f>"124120100004"</f>
        <v>124120100004</v>
      </c>
      <c r="C39" s="3" t="str">
        <f>"向燕"</f>
        <v>向燕</v>
      </c>
      <c r="D39" s="3" t="str">
        <f>"女"</f>
        <v>女</v>
      </c>
      <c r="E39" s="3" t="str">
        <f>"管理科学与工程"</f>
        <v>管理科学与工程</v>
      </c>
      <c r="F39" s="3" t="str">
        <f>"程序设计与python应用"</f>
        <v>程序设计与python应用</v>
      </c>
      <c r="G39" s="3" t="str">
        <f>"专业选修课"</f>
        <v>专业选修课</v>
      </c>
      <c r="H39" s="3" t="str">
        <f>"周一第1，2节{第1-17周}，周一第3节{第1-17周}"</f>
        <v>周一第1，2节{第1-17周}，周一第3节{第1-17周}</v>
      </c>
      <c r="I39" s="3" t="str">
        <f>"管理科学与工程学院"</f>
        <v>管理科学与工程学院</v>
      </c>
      <c r="J39" s="3" t="str">
        <f>"卫柯臻"</f>
        <v>卫柯臻</v>
      </c>
    </row>
    <row r="40" ht="72" spans="1:10">
      <c r="A40" s="3">
        <v>38</v>
      </c>
      <c r="B40" s="3" t="str">
        <f>"121120100004"</f>
        <v>121120100004</v>
      </c>
      <c r="C40" s="3" t="str">
        <f>"唐霞"</f>
        <v>唐霞</v>
      </c>
      <c r="D40" s="3" t="str">
        <f>"女"</f>
        <v>女</v>
      </c>
      <c r="E40" s="3" t="str">
        <f>"管理科学与工程"</f>
        <v>管理科学与工程</v>
      </c>
      <c r="F40" s="3" t="str">
        <f>"运营管理"</f>
        <v>运营管理</v>
      </c>
      <c r="G40" s="3" t="str">
        <f>"专业必修课"</f>
        <v>专业必修课</v>
      </c>
      <c r="H40" s="3" t="str">
        <f>"周三第6节{第1-17周}，周三第7节{第1-17周}，周三第8节{第1-17周}"</f>
        <v>周三第6节{第1-17周}，周三第7节{第1-17周}，周三第8节{第1-17周}</v>
      </c>
      <c r="I40" s="3" t="str">
        <f>"管理科学与工程学院"</f>
        <v>管理科学与工程学院</v>
      </c>
      <c r="J40" s="3" t="str">
        <f>"宋博迁"</f>
        <v>宋博迁</v>
      </c>
    </row>
    <row r="41" ht="48" spans="1:10">
      <c r="A41" s="3">
        <v>39</v>
      </c>
      <c r="B41" s="3" t="str">
        <f>"222020101022"</f>
        <v>222020101022</v>
      </c>
      <c r="C41" s="3" t="str">
        <f>"俞佳琦"</f>
        <v>俞佳琦</v>
      </c>
      <c r="D41" s="3" t="str">
        <f>"女"</f>
        <v>女</v>
      </c>
      <c r="E41" s="3" t="str">
        <f>"政治经济学"</f>
        <v>政治经济学</v>
      </c>
      <c r="F41" s="3" t="str">
        <f>"政治经济学"</f>
        <v>政治经济学</v>
      </c>
      <c r="G41" s="3" t="str">
        <f>"学科基础课"</f>
        <v>学科基础课</v>
      </c>
      <c r="H41" s="3" t="str">
        <f>"周三第1，2节{第1-17周}，周三第3节{第1-17周}"</f>
        <v>周三第1，2节{第1-17周}，周三第3节{第1-17周}</v>
      </c>
      <c r="I41" s="3" t="str">
        <f>"经济学院"</f>
        <v>经济学院</v>
      </c>
      <c r="J41" s="3" t="str">
        <f>"陈航"</f>
        <v>陈航</v>
      </c>
    </row>
    <row r="42" spans="1:10">
      <c r="A42" s="3">
        <v>40</v>
      </c>
      <c r="B42" s="3" t="str">
        <f>"224120202010"</f>
        <v>224120202010</v>
      </c>
      <c r="C42" s="3" t="str">
        <f>"吕文婕"</f>
        <v>吕文婕</v>
      </c>
      <c r="D42" s="3" t="str">
        <f>"女"</f>
        <v>女</v>
      </c>
      <c r="E42" s="3" t="str">
        <f>"企业管理"</f>
        <v>企业管理</v>
      </c>
      <c r="F42" s="3" t="str">
        <f>"商务英语-案例篇MOOC"</f>
        <v>商务英语-案例篇MOOC</v>
      </c>
      <c r="G42" s="3" t="str">
        <f>"慕课"</f>
        <v>慕课</v>
      </c>
      <c r="H42" s="3" t="str">
        <f>"2025年3-6月"</f>
        <v>2025年3-6月</v>
      </c>
      <c r="I42" s="3" t="str">
        <f>"外国语学院"</f>
        <v>外国语学院</v>
      </c>
      <c r="J42" s="3" t="str">
        <f>"谢娟"</f>
        <v>谢娟</v>
      </c>
    </row>
    <row r="43" ht="36" spans="1:10">
      <c r="A43" s="3">
        <v>41</v>
      </c>
      <c r="B43" s="3" t="str">
        <f>"2240202J8009"</f>
        <v>2240202J8009</v>
      </c>
      <c r="C43" s="3" t="str">
        <f>"谢聪"</f>
        <v>谢聪</v>
      </c>
      <c r="D43" s="3" t="str">
        <f>"男"</f>
        <v>男</v>
      </c>
      <c r="E43" s="3" t="str">
        <f>"经济大数据分析"</f>
        <v>经济大数据分析</v>
      </c>
      <c r="F43" s="3" t="str">
        <f>"数理统计（理）"</f>
        <v>数理统计（理）</v>
      </c>
      <c r="G43" s="3" t="str">
        <f>"大学科基础课"</f>
        <v>大学科基础课</v>
      </c>
      <c r="H43" s="3" t="str">
        <f>"周一第10，11，12节{第1-17周}"</f>
        <v>周一第10，11，12节{第1-17周}</v>
      </c>
      <c r="I43" s="3" t="str">
        <f>"统计学院"</f>
        <v>统计学院</v>
      </c>
      <c r="J43" s="3" t="str">
        <f>"马铁丰"</f>
        <v>马铁丰</v>
      </c>
    </row>
    <row r="44" ht="48" spans="1:10">
      <c r="A44" s="3">
        <v>42</v>
      </c>
      <c r="B44" s="3" t="str">
        <f>"223020204140"</f>
        <v>223020204140</v>
      </c>
      <c r="C44" s="3" t="str">
        <f>"李慧哲"</f>
        <v>李慧哲</v>
      </c>
      <c r="D44" s="3" t="str">
        <f>"女"</f>
        <v>女</v>
      </c>
      <c r="E44" s="3" t="str">
        <f>"金融学"</f>
        <v>金融学</v>
      </c>
      <c r="F44" s="3" t="str">
        <f>"微观经济学"</f>
        <v>微观经济学</v>
      </c>
      <c r="G44" s="3" t="str">
        <f>"学科基础课"</f>
        <v>学科基础课</v>
      </c>
      <c r="H44" s="3" t="str">
        <f>"周一第7节{第1-17周}，周一第8，9节{第1-17周}"</f>
        <v>周一第7节{第1-17周}，周一第8，9节{第1-17周}</v>
      </c>
      <c r="I44" s="3" t="str">
        <f>"经济学院"</f>
        <v>经济学院</v>
      </c>
      <c r="J44" s="3" t="str">
        <f>"李小帆"</f>
        <v>李小帆</v>
      </c>
    </row>
    <row r="45" ht="24" spans="1:10">
      <c r="A45" s="3">
        <v>43</v>
      </c>
      <c r="B45" s="3" t="str">
        <f>"2220502Z1005"</f>
        <v>2220502Z1005</v>
      </c>
      <c r="C45" s="3" t="str">
        <f>"黄晋波"</f>
        <v>黄晋波</v>
      </c>
      <c r="D45" s="3" t="str">
        <f>"男"</f>
        <v>男</v>
      </c>
      <c r="E45" s="3" t="str">
        <f>"商务英语研究"</f>
        <v>商务英语研究</v>
      </c>
      <c r="F45" s="3" t="str">
        <f>"国际支付与结算（英）MOOC"</f>
        <v>国际支付与结算（英）MOOC</v>
      </c>
      <c r="G45" s="3" t="str">
        <f>"慕课"</f>
        <v>慕课</v>
      </c>
      <c r="H45" s="3" t="str">
        <f>"2025年3-6月"</f>
        <v>2025年3-6月</v>
      </c>
      <c r="I45" s="3" t="str">
        <f>"外国语学院"</f>
        <v>外国语学院</v>
      </c>
      <c r="J45" s="3" t="str">
        <f>"傅泳"</f>
        <v>傅泳</v>
      </c>
    </row>
    <row r="46" ht="72" spans="1:10">
      <c r="A46" s="3">
        <v>44</v>
      </c>
      <c r="B46" s="3" t="str">
        <f>"224070100013"</f>
        <v>224070100013</v>
      </c>
      <c r="C46" s="3" t="str">
        <f>"刘恩琦"</f>
        <v>刘恩琦</v>
      </c>
      <c r="D46" s="3" t="str">
        <f>"女"</f>
        <v>女</v>
      </c>
      <c r="E46" s="3" t="str">
        <f>"数学"</f>
        <v>数学</v>
      </c>
      <c r="F46" s="3" t="str">
        <f>"高等数学Ⅱ"</f>
        <v>高等数学Ⅱ</v>
      </c>
      <c r="G46" s="3" t="str">
        <f>"通识基础课"</f>
        <v>通识基础课</v>
      </c>
      <c r="H46" s="3" t="str">
        <f>"周二第1，2节{第1-17周}，周四第5，6节{第1-17周}，周四第7节{第1-17周}"</f>
        <v>周二第1，2节{第1-17周}，周四第5，6节{第1-17周}，周四第7节{第1-17周}</v>
      </c>
      <c r="I46" s="3" t="str">
        <f>"数学学院"</f>
        <v>数学学院</v>
      </c>
      <c r="J46" s="3" t="str">
        <f>"王韦龙"</f>
        <v>王韦龙</v>
      </c>
    </row>
    <row r="47" ht="36" spans="1:10">
      <c r="A47" s="3">
        <v>45</v>
      </c>
      <c r="B47" s="3" t="str">
        <f>"1240202J8008"</f>
        <v>1240202J8008</v>
      </c>
      <c r="C47" s="3" t="str">
        <f>"吴昕航"</f>
        <v>吴昕航</v>
      </c>
      <c r="D47" s="3" t="str">
        <f>"女"</f>
        <v>女</v>
      </c>
      <c r="E47" s="3" t="str">
        <f>"经济大数据分析"</f>
        <v>经济大数据分析</v>
      </c>
      <c r="F47" s="3" t="str">
        <f>"时间序列分析"</f>
        <v>时间序列分析</v>
      </c>
      <c r="G47" s="3" t="str">
        <f>"专业必修课"</f>
        <v>专业必修课</v>
      </c>
      <c r="H47" s="3" t="str">
        <f>"周二第10，11，12节{第1-17周}"</f>
        <v>周二第10，11，12节{第1-17周}</v>
      </c>
      <c r="I47" s="3" t="str">
        <f>"统计学院"</f>
        <v>统计学院</v>
      </c>
      <c r="J47" s="3" t="str">
        <f>"周凡吟"</f>
        <v>周凡吟</v>
      </c>
    </row>
    <row r="48" ht="72" spans="1:10">
      <c r="A48" s="3">
        <v>46</v>
      </c>
      <c r="B48" s="3" t="str">
        <f>"224070100006"</f>
        <v>224070100006</v>
      </c>
      <c r="C48" s="3" t="str">
        <f>"王嗣杰"</f>
        <v>王嗣杰</v>
      </c>
      <c r="D48" s="3" t="str">
        <f>"男"</f>
        <v>男</v>
      </c>
      <c r="E48" s="3" t="str">
        <f>"数学"</f>
        <v>数学</v>
      </c>
      <c r="F48" s="3" t="str">
        <f>"高等数学Ⅱ"</f>
        <v>高等数学Ⅱ</v>
      </c>
      <c r="G48" s="3" t="str">
        <f>"通识基础课"</f>
        <v>通识基础课</v>
      </c>
      <c r="H48" s="3" t="str">
        <f>"周二第3，4节{第1-17周}，周四第1，2节{第1-17周}，周四第3节{第1-17周}"</f>
        <v>周二第3，4节{第1-17周}，周四第1，2节{第1-17周}，周四第3节{第1-17周}</v>
      </c>
      <c r="I48" s="3" t="str">
        <f>"数学学院"</f>
        <v>数学学院</v>
      </c>
      <c r="J48" s="3" t="str">
        <f>"王韦龙"</f>
        <v>王韦龙</v>
      </c>
    </row>
    <row r="49" ht="48" spans="1:10">
      <c r="A49" s="3">
        <v>47</v>
      </c>
      <c r="B49" s="3" t="str">
        <f>"1240202J8003"</f>
        <v>1240202J8003</v>
      </c>
      <c r="C49" s="3" t="str">
        <f>"张其瑞"</f>
        <v>张其瑞</v>
      </c>
      <c r="D49" s="3" t="str">
        <f>"男"</f>
        <v>男</v>
      </c>
      <c r="E49" s="3" t="str">
        <f>"经济大数据分析"</f>
        <v>经济大数据分析</v>
      </c>
      <c r="F49" s="3" t="str">
        <f>"统计学"</f>
        <v>统计学</v>
      </c>
      <c r="G49" s="3" t="str">
        <f>"大学科基础课"</f>
        <v>大学科基础课</v>
      </c>
      <c r="H49" s="3" t="str">
        <f>"周三第7节{第1-17周}，周三第8，9节{第1-17周}"</f>
        <v>周三第7节{第1-17周}，周三第8，9节{第1-17周}</v>
      </c>
      <c r="I49" s="3" t="str">
        <f>"统计学院"</f>
        <v>统计学院</v>
      </c>
      <c r="J49" s="3" t="str">
        <f>"陈丹丹"</f>
        <v>陈丹丹</v>
      </c>
    </row>
    <row r="50" ht="36" spans="1:10">
      <c r="A50" s="3">
        <v>48</v>
      </c>
      <c r="B50" s="3" t="str">
        <f>"1240202J8001"</f>
        <v>1240202J8001</v>
      </c>
      <c r="C50" s="3" t="str">
        <f>"张雅婧"</f>
        <v>张雅婧</v>
      </c>
      <c r="D50" s="3" t="str">
        <f>"女"</f>
        <v>女</v>
      </c>
      <c r="E50" s="3" t="str">
        <f>"经济大数据分析"</f>
        <v>经济大数据分析</v>
      </c>
      <c r="F50" s="3" t="str">
        <f>"数理统计（理）"</f>
        <v>数理统计（理）</v>
      </c>
      <c r="G50" s="3" t="str">
        <f>"大学科基础课"</f>
        <v>大学科基础课</v>
      </c>
      <c r="H50" s="3" t="str">
        <f>"周二第10，11，12节{第1-17周}"</f>
        <v>周二第10，11，12节{第1-17周}</v>
      </c>
      <c r="I50" s="3" t="str">
        <f>"统计学院"</f>
        <v>统计学院</v>
      </c>
      <c r="J50" s="3" t="str">
        <f>"王籼入"</f>
        <v>王籼入</v>
      </c>
    </row>
    <row r="51" ht="48" spans="1:10">
      <c r="A51" s="3">
        <v>49</v>
      </c>
      <c r="B51" s="3" t="str">
        <f>"223120201031"</f>
        <v>223120201031</v>
      </c>
      <c r="C51" s="3" t="str">
        <f>"何艳霜"</f>
        <v>何艳霜</v>
      </c>
      <c r="D51" s="3" t="str">
        <f>"女"</f>
        <v>女</v>
      </c>
      <c r="E51" s="3" t="str">
        <f>"会计学"</f>
        <v>会计学</v>
      </c>
      <c r="F51" s="3" t="str">
        <f>"会计学"</f>
        <v>会计学</v>
      </c>
      <c r="G51" s="3" t="str">
        <f>"学科基础课"</f>
        <v>学科基础课</v>
      </c>
      <c r="H51" s="3" t="str">
        <f>"周四第5，6节{第1-17周}，周四第7节{第1-17周}"</f>
        <v>周四第5，6节{第1-17周}，周四第7节{第1-17周}</v>
      </c>
      <c r="I51" s="3" t="str">
        <f>"会计学院"</f>
        <v>会计学院</v>
      </c>
      <c r="J51" s="3" t="str">
        <f>"李海燕"</f>
        <v>李海燕</v>
      </c>
    </row>
    <row r="52" ht="48" spans="1:10">
      <c r="A52" s="3">
        <v>50</v>
      </c>
      <c r="B52" s="3" t="str">
        <f>"123071400001"</f>
        <v>123071400001</v>
      </c>
      <c r="C52" s="3" t="str">
        <f>"陈露"</f>
        <v>陈露</v>
      </c>
      <c r="D52" s="3" t="str">
        <f>"女"</f>
        <v>女</v>
      </c>
      <c r="E52" s="3" t="str">
        <f>"统计学"</f>
        <v>统计学</v>
      </c>
      <c r="F52" s="3" t="str">
        <f>"数理统计（理）"</f>
        <v>数理统计（理）</v>
      </c>
      <c r="G52" s="3" t="str">
        <f>"大学科基础课"</f>
        <v>大学科基础课</v>
      </c>
      <c r="H52" s="3" t="str">
        <f>"周三第5，6节{第1-17周}，周三第7节{第1-17周}"</f>
        <v>周三第5，6节{第1-17周}，周三第7节{第1-17周}</v>
      </c>
      <c r="I52" s="3" t="str">
        <f>"统计学院"</f>
        <v>统计学院</v>
      </c>
      <c r="J52" s="3" t="str">
        <f>"马昀蓓"</f>
        <v>马昀蓓</v>
      </c>
    </row>
    <row r="53" ht="24" spans="1:10">
      <c r="A53" s="3">
        <v>51</v>
      </c>
      <c r="B53" s="3" t="str">
        <f>"224081200025"</f>
        <v>224081200025</v>
      </c>
      <c r="C53" s="3" t="str">
        <f>"韩庭恺"</f>
        <v>韩庭恺</v>
      </c>
      <c r="D53" s="3" t="str">
        <f>"男"</f>
        <v>男</v>
      </c>
      <c r="E53" s="3" t="str">
        <f>"计算机科学与技术"</f>
        <v>计算机科学与技术</v>
      </c>
      <c r="F53" s="3" t="str">
        <f>"人工智能与现代科技"</f>
        <v>人工智能与现代科技</v>
      </c>
      <c r="G53" s="3" t="str">
        <f>"通识基础课"</f>
        <v>通识基础课</v>
      </c>
      <c r="H53" s="3" t="str">
        <f>"周一第1，2节{第1-17周}"</f>
        <v>周一第1，2节{第1-17周}</v>
      </c>
      <c r="I53" s="3" t="str">
        <f>"计算机与人工智能学院"</f>
        <v>计算机与人工智能学院</v>
      </c>
      <c r="J53" s="3" t="str">
        <f>"张丹"</f>
        <v>张丹</v>
      </c>
    </row>
    <row r="54" ht="36" spans="1:10">
      <c r="A54" s="3">
        <v>52</v>
      </c>
      <c r="B54" s="3" t="str">
        <f>"224020209017"</f>
        <v>224020209017</v>
      </c>
      <c r="C54" s="3" t="str">
        <f>"谢舒"</f>
        <v>谢舒</v>
      </c>
      <c r="D54" s="3" t="str">
        <f>"女"</f>
        <v>女</v>
      </c>
      <c r="E54" s="3" t="str">
        <f>"数量经济学"</f>
        <v>数量经济学</v>
      </c>
      <c r="F54" s="3" t="str">
        <f>"程序设计与python应用"</f>
        <v>程序设计与python应用</v>
      </c>
      <c r="G54" s="3" t="str">
        <f>"通识基础课"</f>
        <v>通识基础课</v>
      </c>
      <c r="H54" s="3" t="str">
        <f>"周一第10，11，12节{第1-17周}"</f>
        <v>周一第10，11，12节{第1-17周}</v>
      </c>
      <c r="I54" s="3" t="str">
        <f>"管理科学与工程学院"</f>
        <v>管理科学与工程学院</v>
      </c>
      <c r="J54" s="3" t="str">
        <f>"张义刚"</f>
        <v>张义刚</v>
      </c>
    </row>
    <row r="55" ht="48" spans="1:10">
      <c r="A55" s="3">
        <v>53</v>
      </c>
      <c r="B55" s="3" t="str">
        <f>"123120201007"</f>
        <v>123120201007</v>
      </c>
      <c r="C55" s="3" t="str">
        <f>"荣俊豪"</f>
        <v>荣俊豪</v>
      </c>
      <c r="D55" s="3" t="str">
        <f>"男"</f>
        <v>男</v>
      </c>
      <c r="E55" s="3" t="str">
        <f>"会计学"</f>
        <v>会计学</v>
      </c>
      <c r="F55" s="3" t="str">
        <f>"会计学"</f>
        <v>会计学</v>
      </c>
      <c r="G55" s="3" t="str">
        <f>"学科基础课"</f>
        <v>学科基础课</v>
      </c>
      <c r="H55" s="3" t="str">
        <f>"周四第1，2节{第1-17周}，周四第3节{第1-17周}"</f>
        <v>周四第1，2节{第1-17周}，周四第3节{第1-17周}</v>
      </c>
      <c r="I55" s="3" t="str">
        <f>"会计学院"</f>
        <v>会计学院</v>
      </c>
      <c r="J55" s="3" t="str">
        <f>"杨奕楠"</f>
        <v>杨奕楠</v>
      </c>
    </row>
    <row r="56" ht="84" spans="1:10">
      <c r="A56" s="3">
        <v>54</v>
      </c>
      <c r="B56" s="3" t="str">
        <f>"223070100024"</f>
        <v>223070100024</v>
      </c>
      <c r="C56" s="3" t="str">
        <f>"范霄"</f>
        <v>范霄</v>
      </c>
      <c r="D56" s="3" t="str">
        <f>"女"</f>
        <v>女</v>
      </c>
      <c r="E56" s="3" t="str">
        <f>"数学"</f>
        <v>数学</v>
      </c>
      <c r="F56" s="3" t="str">
        <f>"数学分析Ⅱ（理科）"</f>
        <v>数学分析Ⅱ（理科）</v>
      </c>
      <c r="G56" s="3" t="str">
        <f>"通识基础课"</f>
        <v>通识基础课</v>
      </c>
      <c r="H56" s="3" t="str">
        <f>"周二第10，11，12节{第1-17周}，周五第5，6节{第1-17周}，周五第7节{第1-17周}"</f>
        <v>周二第10，11，12节{第1-17周}，周五第5，6节{第1-17周}，周五第7节{第1-17周}</v>
      </c>
      <c r="I56" s="3" t="s">
        <v>11</v>
      </c>
      <c r="J56" s="3" t="str">
        <f>"梁之磊"</f>
        <v>梁之磊</v>
      </c>
    </row>
    <row r="57" ht="36" spans="1:10">
      <c r="A57" s="3">
        <v>55</v>
      </c>
      <c r="B57" s="3" t="str">
        <f>"121120204004"</f>
        <v>121120204004</v>
      </c>
      <c r="C57" s="3" t="str">
        <f>"赵丽"</f>
        <v>赵丽</v>
      </c>
      <c r="D57" s="3" t="str">
        <f>"女"</f>
        <v>女</v>
      </c>
      <c r="E57" s="3" t="str">
        <f>"技术经济及管理"</f>
        <v>技术经济及管理</v>
      </c>
      <c r="F57" s="3" t="str">
        <f>"管理信息系统（英）"</f>
        <v>管理信息系统（英）</v>
      </c>
      <c r="G57" s="3" t="str">
        <f>"专业必修课"</f>
        <v>专业必修课</v>
      </c>
      <c r="H57" s="3" t="str">
        <f>"周二第10，11，12节{第1-17周}"</f>
        <v>周二第10，11，12节{第1-17周}</v>
      </c>
      <c r="I57" s="3" t="str">
        <f>"管理科学与工程学院"</f>
        <v>管理科学与工程学院</v>
      </c>
      <c r="J57" s="3" t="str">
        <f>"徐赟"</f>
        <v>徐赟</v>
      </c>
    </row>
    <row r="58" ht="48" spans="1:10">
      <c r="A58" s="3">
        <v>56</v>
      </c>
      <c r="B58" s="3" t="str">
        <f>"1210202Z1003"</f>
        <v>1210202Z1003</v>
      </c>
      <c r="C58" s="3" t="str">
        <f>"吴祥麟"</f>
        <v>吴祥麟</v>
      </c>
      <c r="D58" s="3" t="str">
        <f>"男"</f>
        <v>男</v>
      </c>
      <c r="E58" s="3" t="str">
        <f>"数理金融学"</f>
        <v>数理金融学</v>
      </c>
      <c r="F58" s="3" t="str">
        <f>"概率论（理科）"</f>
        <v>概率论（理科）</v>
      </c>
      <c r="G58" s="3" t="str">
        <f>"通识基础课"</f>
        <v>通识基础课</v>
      </c>
      <c r="H58" s="3" t="str">
        <f>"周二第3，4节{第1-17周}，周四第1，2节{第1-17周}"</f>
        <v>周二第3，4节{第1-17周}，周四第1，2节{第1-17周}</v>
      </c>
      <c r="I58" s="3" t="s">
        <v>11</v>
      </c>
      <c r="J58" s="3" t="str">
        <f>"王鸣晖"</f>
        <v>王鸣晖</v>
      </c>
    </row>
    <row r="59" ht="48" spans="1:10">
      <c r="A59" s="3">
        <v>57</v>
      </c>
      <c r="B59" s="3" t="str">
        <f>"123020101001"</f>
        <v>123020101001</v>
      </c>
      <c r="C59" s="3" t="str">
        <f>"晏晨景"</f>
        <v>晏晨景</v>
      </c>
      <c r="D59" s="3" t="str">
        <f>"男"</f>
        <v>男</v>
      </c>
      <c r="E59" s="3" t="str">
        <f>"政治经济学"</f>
        <v>政治经济学</v>
      </c>
      <c r="F59" s="3" t="str">
        <f>"政治经济学"</f>
        <v>政治经济学</v>
      </c>
      <c r="G59" s="3" t="str">
        <f>"学科基础课"</f>
        <v>学科基础课</v>
      </c>
      <c r="H59" s="3" t="str">
        <f>"周三第5，6节{第1-17周}，周三第7节{第1-17周}"</f>
        <v>周三第5，6节{第1-17周}，周三第7节{第1-17周}</v>
      </c>
      <c r="I59" s="3" t="str">
        <f>"经济学院"</f>
        <v>经济学院</v>
      </c>
      <c r="J59" s="3" t="str">
        <f>"王雪苓"</f>
        <v>王雪苓</v>
      </c>
    </row>
    <row r="60" ht="48" spans="1:10">
      <c r="A60" s="3">
        <v>58</v>
      </c>
      <c r="B60" s="3" t="str">
        <f>"2230202Z1023"</f>
        <v>2230202Z1023</v>
      </c>
      <c r="C60" s="3" t="str">
        <f>"邓佳杰"</f>
        <v>邓佳杰</v>
      </c>
      <c r="D60" s="3" t="str">
        <f>"女"</f>
        <v>女</v>
      </c>
      <c r="E60" s="3" t="str">
        <f>"数理金融学"</f>
        <v>数理金融学</v>
      </c>
      <c r="F60" s="3" t="str">
        <f>"数理统计"</f>
        <v>数理统计</v>
      </c>
      <c r="G60" s="3" t="str">
        <f>"大学科基础课"</f>
        <v>大学科基础课</v>
      </c>
      <c r="H60" s="3" t="str">
        <f>"周四第1，2节{第1-17周}，周四第3节{第1-17周}"</f>
        <v>周四第1，2节{第1-17周}，周四第3节{第1-17周}</v>
      </c>
      <c r="I60" s="3" t="s">
        <v>11</v>
      </c>
      <c r="J60" s="3" t="str">
        <f>"李绍文"</f>
        <v>李绍文</v>
      </c>
    </row>
    <row r="61" ht="96" spans="1:10">
      <c r="A61" s="3">
        <v>59</v>
      </c>
      <c r="B61" s="3" t="str">
        <f>"1210202Z1013"</f>
        <v>1210202Z1013</v>
      </c>
      <c r="C61" s="3" t="str">
        <f>"王阳洋"</f>
        <v>王阳洋</v>
      </c>
      <c r="D61" s="3" t="str">
        <f>"男"</f>
        <v>男</v>
      </c>
      <c r="E61" s="3" t="str">
        <f>"数理金融学"</f>
        <v>数理金融学</v>
      </c>
      <c r="F61" s="3" t="str">
        <f>"数学分析II（英文）"</f>
        <v>数学分析II（英文）</v>
      </c>
      <c r="G61" s="3" t="str">
        <f>"通识基础课"</f>
        <v>通识基础课</v>
      </c>
      <c r="H61" s="3" t="str">
        <f>"周三第5，6节{第1-17周}，周三第7节{第1-17周}，周五第5，6节{第1-17周}，周五第7节{第1-17周}"</f>
        <v>周三第5，6节{第1-17周}，周三第7节{第1-17周}，周五第5，6节{第1-17周}，周五第7节{第1-17周}</v>
      </c>
      <c r="I61" s="3" t="s">
        <v>11</v>
      </c>
      <c r="J61" s="3" t="str">
        <f>"郭训香"</f>
        <v>郭训香</v>
      </c>
    </row>
    <row r="62" ht="48" spans="1:10">
      <c r="A62" s="3">
        <v>60</v>
      </c>
      <c r="B62" s="3" t="str">
        <f>"121120100001"</f>
        <v>121120100001</v>
      </c>
      <c r="C62" s="3" t="str">
        <f>"郑茜"</f>
        <v>郑茜</v>
      </c>
      <c r="D62" s="3" t="str">
        <f>"女"</f>
        <v>女</v>
      </c>
      <c r="E62" s="3" t="str">
        <f>"管理科学与工程"</f>
        <v>管理科学与工程</v>
      </c>
      <c r="F62" s="3" t="str">
        <f>"概率论（理科）"</f>
        <v>概率论（理科）</v>
      </c>
      <c r="G62" s="3" t="str">
        <f>"通识基础课"</f>
        <v>通识基础课</v>
      </c>
      <c r="H62" s="3" t="str">
        <f>"周三第8，9节{第1-17周}，周四第8，9节{第1-17周}"</f>
        <v>周三第8，9节{第1-17周}，周四第8，9节{第1-17周}</v>
      </c>
      <c r="I62" s="3" t="s">
        <v>11</v>
      </c>
      <c r="J62" s="3" t="str">
        <f>"骆川义"</f>
        <v>骆川义</v>
      </c>
    </row>
    <row r="63" ht="48" spans="1:10">
      <c r="A63" s="3">
        <v>61</v>
      </c>
      <c r="B63" s="3" t="str">
        <f>"1231202Z6009"</f>
        <v>1231202Z6009</v>
      </c>
      <c r="C63" s="3" t="str">
        <f>"陈莹"</f>
        <v>陈莹</v>
      </c>
      <c r="D63" s="3" t="str">
        <f>"女"</f>
        <v>女</v>
      </c>
      <c r="E63" s="3" t="str">
        <f>"财务管理"</f>
        <v>财务管理</v>
      </c>
      <c r="F63" s="3" t="str">
        <f>"中级财务会计Ⅱ"</f>
        <v>中级财务会计Ⅱ</v>
      </c>
      <c r="G63" s="3" t="str">
        <f>"专业必修课"</f>
        <v>专业必修课</v>
      </c>
      <c r="H63" s="3" t="str">
        <f>"周四第5，6节{第1-17周}，周四第7节{第1-17周}"</f>
        <v>周四第5，6节{第1-17周}，周四第7节{第1-17周}</v>
      </c>
      <c r="I63" s="3" t="str">
        <f>"会计学院"</f>
        <v>会计学院</v>
      </c>
      <c r="J63" s="3" t="str">
        <f>"曹昱"</f>
        <v>曹昱</v>
      </c>
    </row>
    <row r="64" ht="48" spans="1:10">
      <c r="A64" s="3">
        <v>62</v>
      </c>
      <c r="B64" s="3" t="str">
        <f>"122120100002"</f>
        <v>122120100002</v>
      </c>
      <c r="C64" s="3" t="str">
        <f>"魏志宏"</f>
        <v>魏志宏</v>
      </c>
      <c r="D64" s="3" t="str">
        <f>"男"</f>
        <v>男</v>
      </c>
      <c r="E64" s="3" t="str">
        <f>"管理科学与工程"</f>
        <v>管理科学与工程</v>
      </c>
      <c r="F64" s="3" t="str">
        <f>"线性代数"</f>
        <v>线性代数</v>
      </c>
      <c r="G64" s="3" t="str">
        <f>"通识基础课"</f>
        <v>通识基础课</v>
      </c>
      <c r="H64" s="3" t="str">
        <f>"周三第5，6节{第1-17周}，周三第7节{第1-17周}"</f>
        <v>周三第5，6节{第1-17周}，周三第7节{第1-17周}</v>
      </c>
      <c r="I64" s="3" t="s">
        <v>11</v>
      </c>
      <c r="J64" s="3" t="str">
        <f>"张昕"</f>
        <v>张昕</v>
      </c>
    </row>
    <row r="65" ht="48" spans="1:10">
      <c r="A65" s="3">
        <v>63</v>
      </c>
      <c r="B65" s="3" t="str">
        <f>"123070100005"</f>
        <v>123070100005</v>
      </c>
      <c r="C65" s="3" t="str">
        <f>"徐敏"</f>
        <v>徐敏</v>
      </c>
      <c r="D65" s="3" t="str">
        <f>"女"</f>
        <v>女</v>
      </c>
      <c r="E65" s="3" t="str">
        <f>"数学"</f>
        <v>数学</v>
      </c>
      <c r="F65" s="3" t="str">
        <f>"线性代数"</f>
        <v>线性代数</v>
      </c>
      <c r="G65" s="3" t="str">
        <f>"通识基础课"</f>
        <v>通识基础课</v>
      </c>
      <c r="H65" s="3" t="str">
        <f>"周三第1，2节{第1-17周}，周三第3节{第1-17周}"</f>
        <v>周三第1，2节{第1-17周}，周三第3节{第1-17周}</v>
      </c>
      <c r="I65" s="3" t="str">
        <f>"数学学院"</f>
        <v>数学学院</v>
      </c>
      <c r="J65" s="3" t="str">
        <f>"樊胜"</f>
        <v>樊胜</v>
      </c>
    </row>
    <row r="66" ht="36" spans="1:10">
      <c r="A66" s="3">
        <v>64</v>
      </c>
      <c r="B66" s="3" t="str">
        <f>"223070100016"</f>
        <v>223070100016</v>
      </c>
      <c r="C66" s="3" t="str">
        <f>"范琳琳"</f>
        <v>范琳琳</v>
      </c>
      <c r="D66" s="3" t="str">
        <f>"女"</f>
        <v>女</v>
      </c>
      <c r="E66" s="3" t="str">
        <f>"数学"</f>
        <v>数学</v>
      </c>
      <c r="F66" s="3" t="str">
        <f>"线性代数"</f>
        <v>线性代数</v>
      </c>
      <c r="G66" s="3" t="str">
        <f>"通识基础课"</f>
        <v>通识基础课</v>
      </c>
      <c r="H66" s="3" t="str">
        <f>"周三第10，11，12节{第1-17周}"</f>
        <v>周三第10，11，12节{第1-17周}</v>
      </c>
      <c r="I66" s="3" t="s">
        <v>11</v>
      </c>
      <c r="J66" s="3" t="str">
        <f>"张炜"</f>
        <v>张炜</v>
      </c>
    </row>
    <row r="67" ht="48" spans="1:10">
      <c r="A67" s="3">
        <v>65</v>
      </c>
      <c r="B67" s="3" t="str">
        <f>"224071400016"</f>
        <v>224071400016</v>
      </c>
      <c r="C67" s="3" t="str">
        <f>"史雨欣"</f>
        <v>史雨欣</v>
      </c>
      <c r="D67" s="3" t="str">
        <f>"女"</f>
        <v>女</v>
      </c>
      <c r="E67" s="3" t="str">
        <f>"统计学"</f>
        <v>统计学</v>
      </c>
      <c r="F67" s="3" t="str">
        <f>"数理统计（理）"</f>
        <v>数理统计（理）</v>
      </c>
      <c r="G67" s="3" t="str">
        <f>"大学科基础课"</f>
        <v>大学科基础课</v>
      </c>
      <c r="H67" s="3" t="str">
        <f>"周三第5，6节{第1-17周}，周三第7节{第1-17周}"</f>
        <v>周三第5，6节{第1-17周}，周三第7节{第1-17周}</v>
      </c>
      <c r="I67" s="3" t="str">
        <f>"统计学院"</f>
        <v>统计学院</v>
      </c>
      <c r="J67" s="3" t="str">
        <f>"马昀蓓"</f>
        <v>马昀蓓</v>
      </c>
    </row>
    <row r="68" ht="72" spans="1:10">
      <c r="A68" s="3">
        <v>66</v>
      </c>
      <c r="B68" s="3" t="str">
        <f>"224070100025"</f>
        <v>224070100025</v>
      </c>
      <c r="C68" s="3" t="str">
        <f>"吴佶芮"</f>
        <v>吴佶芮</v>
      </c>
      <c r="D68" s="3" t="str">
        <f>"女"</f>
        <v>女</v>
      </c>
      <c r="E68" s="3" t="str">
        <f>"数学"</f>
        <v>数学</v>
      </c>
      <c r="F68" s="3" t="str">
        <f>"高等数学Ⅱ"</f>
        <v>高等数学Ⅱ</v>
      </c>
      <c r="G68" s="3" t="str">
        <f>"通识基础课"</f>
        <v>通识基础课</v>
      </c>
      <c r="H68" s="3" t="str">
        <f>"周三第1，2节{第1-17周}，周五第5，6节{第1-17周}，周五第7节{第1-17周}"</f>
        <v>周三第1，2节{第1-17周}，周五第5，6节{第1-17周}，周五第7节{第1-17周}</v>
      </c>
      <c r="I68" s="3" t="str">
        <f>"数学学院"</f>
        <v>数学学院</v>
      </c>
      <c r="J68" s="3" t="str">
        <f>"席悦娟"</f>
        <v>席悦娟</v>
      </c>
    </row>
    <row r="69" ht="36" spans="1:10">
      <c r="A69" s="3">
        <v>67</v>
      </c>
      <c r="B69" s="3" t="str">
        <f>"2240202Z1023"</f>
        <v>2240202Z1023</v>
      </c>
      <c r="C69" s="3" t="str">
        <f>"周冉"</f>
        <v>周冉</v>
      </c>
      <c r="D69" s="3" t="str">
        <f>"女"</f>
        <v>女</v>
      </c>
      <c r="E69" s="3" t="str">
        <f>"数理金融学"</f>
        <v>数理金融学</v>
      </c>
      <c r="F69" s="3" t="str">
        <f>"线性代数"</f>
        <v>线性代数</v>
      </c>
      <c r="G69" s="3" t="str">
        <f>"通识基础课"</f>
        <v>通识基础课</v>
      </c>
      <c r="H69" s="3" t="str">
        <f>"周三第10，11，12节{第1-17周}"</f>
        <v>周三第10，11，12节{第1-17周}</v>
      </c>
      <c r="I69" s="3" t="s">
        <v>11</v>
      </c>
      <c r="J69" s="3" t="str">
        <f>"沈金叶"</f>
        <v>沈金叶</v>
      </c>
    </row>
    <row r="70" ht="72" spans="1:10">
      <c r="A70" s="3">
        <v>68</v>
      </c>
      <c r="B70" s="3" t="str">
        <f>"1220202Z1007"</f>
        <v>1220202Z1007</v>
      </c>
      <c r="C70" s="3" t="str">
        <f>"王智宇"</f>
        <v>王智宇</v>
      </c>
      <c r="D70" s="3" t="str">
        <f>"男"</f>
        <v>男</v>
      </c>
      <c r="E70" s="3" t="str">
        <f>"数理金融学"</f>
        <v>数理金融学</v>
      </c>
      <c r="F70" s="3" t="str">
        <f>"经济博弈论"</f>
        <v>经济博弈论</v>
      </c>
      <c r="G70" s="3" t="str">
        <f>"专业必修课"</f>
        <v>专业必修课</v>
      </c>
      <c r="H70" s="3" t="str">
        <f>"周一第6节{第1-17周}，周一第7节{第1-17周}，周一第8节{第1-17周}"</f>
        <v>周一第6节{第1-17周}，周一第7节{第1-17周}，周一第8节{第1-17周}</v>
      </c>
      <c r="I70" s="3" t="s">
        <v>11</v>
      </c>
      <c r="J70" s="3" t="str">
        <f>"丁川"</f>
        <v>丁川</v>
      </c>
    </row>
    <row r="71" ht="96" spans="1:10">
      <c r="A71" s="3">
        <v>69</v>
      </c>
      <c r="B71" s="3" t="str">
        <f>"1220202Z1008"</f>
        <v>1220202Z1008</v>
      </c>
      <c r="C71" s="3" t="str">
        <f>"王丽媛"</f>
        <v>王丽媛</v>
      </c>
      <c r="D71" s="3" t="str">
        <f>"女"</f>
        <v>女</v>
      </c>
      <c r="E71" s="3" t="str">
        <f>"数理金融学"</f>
        <v>数理金融学</v>
      </c>
      <c r="F71" s="3" t="str">
        <f>"数学分析Ⅱ（理科）"</f>
        <v>数学分析Ⅱ（理科）</v>
      </c>
      <c r="G71" s="3" t="str">
        <f>"通识基础课"</f>
        <v>通识基础课</v>
      </c>
      <c r="H71" s="3" t="str">
        <f>"周一第5，6节{第1-17周}，周一第7节{第1-17周}，周四第5，6节{第1-17周}，周四第7节{第1-17周}"</f>
        <v>周一第5，6节{第1-17周}，周一第7节{第1-17周}，周四第5，6节{第1-17周}，周四第7节{第1-17周}</v>
      </c>
      <c r="I71" s="3" t="s">
        <v>11</v>
      </c>
      <c r="J71" s="3" t="str">
        <f>"方敏"</f>
        <v>方敏</v>
      </c>
    </row>
    <row r="72" ht="48" spans="1:10">
      <c r="A72" s="3">
        <v>70</v>
      </c>
      <c r="B72" s="3" t="str">
        <f>"223071400021"</f>
        <v>223071400021</v>
      </c>
      <c r="C72" s="3" t="str">
        <f>"向玲"</f>
        <v>向玲</v>
      </c>
      <c r="D72" s="3" t="str">
        <f>"女"</f>
        <v>女</v>
      </c>
      <c r="E72" s="3" t="str">
        <f>"统计学"</f>
        <v>统计学</v>
      </c>
      <c r="F72" s="3" t="str">
        <f>"深度学习"</f>
        <v>深度学习</v>
      </c>
      <c r="G72" s="3" t="str">
        <f>"专业方向课"</f>
        <v>专业方向课</v>
      </c>
      <c r="H72" s="3" t="str">
        <f>"周一第5，6节{第1-17周}，周一第7节{第1-17周}"</f>
        <v>周一第5，6节{第1-17周}，周一第7节{第1-17周}</v>
      </c>
      <c r="I72" s="3" t="str">
        <f>"统计学院"</f>
        <v>统计学院</v>
      </c>
      <c r="J72" s="3" t="str">
        <f>"阎瑶"</f>
        <v>阎瑶</v>
      </c>
    </row>
    <row r="73" ht="48" spans="1:10">
      <c r="A73" s="3">
        <v>71</v>
      </c>
      <c r="B73" s="3" t="str">
        <f>"123020104004"</f>
        <v>123020104004</v>
      </c>
      <c r="C73" s="3" t="str">
        <f>"杨润熙"</f>
        <v>杨润熙</v>
      </c>
      <c r="D73" s="3" t="str">
        <f>"男"</f>
        <v>男</v>
      </c>
      <c r="E73" s="3" t="str">
        <f>"西方经济学"</f>
        <v>西方经济学</v>
      </c>
      <c r="F73" s="3" t="str">
        <f>"高级宏观经济学Ⅰ"</f>
        <v>高级宏观经济学Ⅰ</v>
      </c>
      <c r="G73" s="3" t="str">
        <f>"专业必修课"</f>
        <v>专业必修课</v>
      </c>
      <c r="H73" s="3" t="str">
        <f>"周二第1，2节{第1-17周}，周二第3节{第1-17周}"</f>
        <v>周二第1，2节{第1-17周}，周二第3节{第1-17周}</v>
      </c>
      <c r="I73" s="3" t="str">
        <f>"经济学院"</f>
        <v>经济学院</v>
      </c>
      <c r="J73" s="3" t="str">
        <f>"蔡晓陈"</f>
        <v>蔡晓陈</v>
      </c>
    </row>
    <row r="74" ht="24" spans="1:10">
      <c r="A74" s="3">
        <v>72</v>
      </c>
      <c r="B74" s="3" t="str">
        <f>"223081200045"</f>
        <v>223081200045</v>
      </c>
      <c r="C74" s="3" t="str">
        <f>"冯艺辉"</f>
        <v>冯艺辉</v>
      </c>
      <c r="D74" s="3" t="str">
        <f>"女"</f>
        <v>女</v>
      </c>
      <c r="E74" s="3" t="str">
        <f>"计算机科学与技术"</f>
        <v>计算机科学与技术</v>
      </c>
      <c r="F74" s="3" t="str">
        <f>"计算机与大数据基础"</f>
        <v>计算机与大数据基础</v>
      </c>
      <c r="G74" s="3" t="str">
        <f>"通识核心课"</f>
        <v>通识核心课</v>
      </c>
      <c r="H74" s="3" t="str">
        <f>"周四第8，9节{第1-17周}"</f>
        <v>周四第8，9节{第1-17周}</v>
      </c>
      <c r="I74" s="3" t="str">
        <f>"计算机与人工智能学院"</f>
        <v>计算机与人工智能学院</v>
      </c>
      <c r="J74" s="3" t="str">
        <f>"周亚晶"</f>
        <v>周亚晶</v>
      </c>
    </row>
    <row r="75" ht="60" spans="1:10">
      <c r="A75" s="3">
        <v>73</v>
      </c>
      <c r="B75" s="3" t="str">
        <f>"222020201006"</f>
        <v>222020201006</v>
      </c>
      <c r="C75" s="3" t="str">
        <f>"李凌云"</f>
        <v>李凌云</v>
      </c>
      <c r="D75" s="3" t="str">
        <f>"女"</f>
        <v>女</v>
      </c>
      <c r="E75" s="3" t="str">
        <f>"国民经济学"</f>
        <v>国民经济学</v>
      </c>
      <c r="F75" s="3" t="str">
        <f>"概率论（理科）"</f>
        <v>概率论（理科）</v>
      </c>
      <c r="G75" s="3" t="str">
        <f>"通识基础课"</f>
        <v>通识基础课</v>
      </c>
      <c r="H75" s="3" t="str">
        <f>"周二第10，11节{第1-17周}，周五第5，6节{第1-17周}"</f>
        <v>周二第10，11节{第1-17周}，周五第5，6节{第1-17周}</v>
      </c>
      <c r="I75" s="3" t="s">
        <v>11</v>
      </c>
      <c r="J75" s="3" t="str">
        <f>"马捷"</f>
        <v>马捷</v>
      </c>
    </row>
    <row r="76" ht="48" spans="1:10">
      <c r="A76" s="3">
        <v>74</v>
      </c>
      <c r="B76" s="3" t="str">
        <f>"2240202J6002"</f>
        <v>2240202J6002</v>
      </c>
      <c r="C76" s="3" t="str">
        <f>"刘柏一"</f>
        <v>刘柏一</v>
      </c>
      <c r="D76" s="3" t="str">
        <f>"男"</f>
        <v>男</v>
      </c>
      <c r="E76" s="3" t="str">
        <f>"行为金融学"</f>
        <v>行为金融学</v>
      </c>
      <c r="F76" s="3" t="str">
        <f>"微观经济学"</f>
        <v>微观经济学</v>
      </c>
      <c r="G76" s="3" t="str">
        <f>"学科基础课"</f>
        <v>学科基础课</v>
      </c>
      <c r="H76" s="3" t="str">
        <f>"周三第5，6节{第1-17周}，周三第7节{第1-17周}"</f>
        <v>周三第5，6节{第1-17周}，周三第7节{第1-17周}</v>
      </c>
      <c r="I76" s="3" t="str">
        <f>"经济学院"</f>
        <v>经济学院</v>
      </c>
      <c r="J76" s="3" t="str">
        <f>"黄大康"</f>
        <v>黄大康</v>
      </c>
    </row>
    <row r="77" ht="36" spans="1:10">
      <c r="A77" s="3">
        <v>75</v>
      </c>
      <c r="B77" s="3" t="str">
        <f>"1240202J8002"</f>
        <v>1240202J8002</v>
      </c>
      <c r="C77" s="3" t="str">
        <f>"杨丹丹"</f>
        <v>杨丹丹</v>
      </c>
      <c r="D77" s="3" t="str">
        <f>"女"</f>
        <v>女</v>
      </c>
      <c r="E77" s="3" t="str">
        <f>"经济大数据分析"</f>
        <v>经济大数据分析</v>
      </c>
      <c r="F77" s="3" t="str">
        <f>"统计学"</f>
        <v>统计学</v>
      </c>
      <c r="G77" s="3" t="str">
        <f>"大学科基础课"</f>
        <v>大学科基础课</v>
      </c>
      <c r="H77" s="3" t="str">
        <f>"周一第10，11，12节{第1-17周}"</f>
        <v>周一第10，11，12节{第1-17周}</v>
      </c>
      <c r="I77" s="3" t="str">
        <f>"统计学院"</f>
        <v>统计学院</v>
      </c>
      <c r="J77" s="3" t="str">
        <f>"何雅兴"</f>
        <v>何雅兴</v>
      </c>
    </row>
    <row r="78" ht="48" spans="1:10">
      <c r="A78" s="3">
        <v>76</v>
      </c>
      <c r="B78" s="3" t="str">
        <f>"223020206015"</f>
        <v>223020206015</v>
      </c>
      <c r="C78" s="3" t="str">
        <f>"吴轲"</f>
        <v>吴轲</v>
      </c>
      <c r="D78" s="3" t="str">
        <f>"女"</f>
        <v>女</v>
      </c>
      <c r="E78" s="3" t="str">
        <f>"国际贸易学"</f>
        <v>国际贸易学</v>
      </c>
      <c r="F78" s="3" t="str">
        <f>"概率论（理科）"</f>
        <v>概率论（理科）</v>
      </c>
      <c r="G78" s="3" t="str">
        <f>"通识基础课"</f>
        <v>通识基础课</v>
      </c>
      <c r="H78" s="3" t="str">
        <f>"周二第3，4节{第1-17周}，周四第3，4节{第1-17周}"</f>
        <v>周二第3，4节{第1-17周}，周四第3，4节{第1-17周}</v>
      </c>
      <c r="I78" s="3" t="s">
        <v>11</v>
      </c>
      <c r="J78" s="3" t="str">
        <f>"杨扬"</f>
        <v>杨扬</v>
      </c>
    </row>
    <row r="79" ht="36" spans="1:10">
      <c r="A79" s="3">
        <v>77</v>
      </c>
      <c r="B79" s="3" t="str">
        <f>"1211201Z5008"</f>
        <v>1211201Z5008</v>
      </c>
      <c r="C79" s="3" t="str">
        <f>"胡越"</f>
        <v>胡越</v>
      </c>
      <c r="D79" s="3" t="str">
        <f>"女"</f>
        <v>女</v>
      </c>
      <c r="E79" s="3" t="str">
        <f>"大数据管理"</f>
        <v>大数据管理</v>
      </c>
      <c r="F79" s="3" t="str">
        <f>"随机过程"</f>
        <v>随机过程</v>
      </c>
      <c r="G79" s="3" t="str">
        <f>"自由选修课"</f>
        <v>自由选修课</v>
      </c>
      <c r="H79" s="3" t="str">
        <f>"周三第10，11，12节{第1-17周}"</f>
        <v>周三第10，11，12节{第1-17周}</v>
      </c>
      <c r="I79" s="3" t="s">
        <v>11</v>
      </c>
      <c r="J79" s="3" t="str">
        <f>"骆川义"</f>
        <v>骆川义</v>
      </c>
    </row>
    <row r="80" ht="72" spans="1:10">
      <c r="A80" s="3">
        <v>78</v>
      </c>
      <c r="B80" s="3" t="str">
        <f>"222070100003"</f>
        <v>222070100003</v>
      </c>
      <c r="C80" s="3" t="str">
        <f>"王辰旭"</f>
        <v>王辰旭</v>
      </c>
      <c r="D80" s="3" t="str">
        <f>"男"</f>
        <v>男</v>
      </c>
      <c r="E80" s="3" t="str">
        <f>"数学"</f>
        <v>数学</v>
      </c>
      <c r="F80" s="3" t="str">
        <f>"高等代数Ⅱ（理科）"</f>
        <v>高等代数Ⅱ（理科）</v>
      </c>
      <c r="G80" s="3" t="str">
        <f>"通识基础课"</f>
        <v>通识基础课</v>
      </c>
      <c r="H80" s="3" t="str">
        <f>"周一第3，4节{第1-17周}，周三第6节{第1-17周}，周三第7节{第1-17周}"</f>
        <v>周一第3，4节{第1-17周}，周三第6节{第1-17周}，周三第7节{第1-17周}</v>
      </c>
      <c r="I80" s="3" t="s">
        <v>11</v>
      </c>
      <c r="J80" s="3" t="str">
        <f>"赵建容"</f>
        <v>赵建容</v>
      </c>
    </row>
    <row r="81" ht="48" spans="1:10">
      <c r="A81" s="3">
        <v>79</v>
      </c>
      <c r="B81" s="3" t="str">
        <f>"1211202Z9004"</f>
        <v>1211202Z9004</v>
      </c>
      <c r="C81" s="3" t="str">
        <f>"张静"</f>
        <v>张静</v>
      </c>
      <c r="D81" s="3" t="str">
        <f t="shared" ref="D81:D86" si="0">"女"</f>
        <v>女</v>
      </c>
      <c r="E81" s="3" t="str">
        <f>"物流与供应链管理"</f>
        <v>物流与供应链管理</v>
      </c>
      <c r="F81" s="3" t="str">
        <f>"概率论（理科）"</f>
        <v>概率论（理科）</v>
      </c>
      <c r="G81" s="3" t="str">
        <f>"通识基础课"</f>
        <v>通识基础课</v>
      </c>
      <c r="H81" s="3" t="str">
        <f>"周二第3，4节{第1-17周}，周四第3，4节{第1-17周}"</f>
        <v>周二第3，4节{第1-17周}，周四第3，4节{第1-17周}</v>
      </c>
      <c r="I81" s="3" t="str">
        <f>"数学学院"</f>
        <v>数学学院</v>
      </c>
      <c r="J81" s="3" t="str">
        <f>"游杰"</f>
        <v>游杰</v>
      </c>
    </row>
    <row r="82" ht="48" spans="1:10">
      <c r="A82" s="3">
        <v>80</v>
      </c>
      <c r="B82" s="3" t="str">
        <f>"223070100022"</f>
        <v>223070100022</v>
      </c>
      <c r="C82" s="3" t="str">
        <f>"邓桐"</f>
        <v>邓桐</v>
      </c>
      <c r="D82" s="3" t="str">
        <f t="shared" si="0"/>
        <v>女</v>
      </c>
      <c r="E82" s="3" t="str">
        <f>"数学"</f>
        <v>数学</v>
      </c>
      <c r="F82" s="3" t="str">
        <f>"机器学习数学基础"</f>
        <v>机器学习数学基础</v>
      </c>
      <c r="G82" s="3" t="str">
        <f>"专业必修课"</f>
        <v>专业必修课</v>
      </c>
      <c r="H82" s="3" t="str">
        <f>"周四第1，2节{第1-17周}，周四第3节{第1-17周}"</f>
        <v>周四第1，2节{第1-17周}，周四第3节{第1-17周}</v>
      </c>
      <c r="I82" s="3" t="s">
        <v>11</v>
      </c>
      <c r="J82" s="3" t="str">
        <f>"王天明"</f>
        <v>王天明</v>
      </c>
    </row>
    <row r="83" ht="48" spans="1:10">
      <c r="A83" s="3">
        <v>81</v>
      </c>
      <c r="B83" s="3" t="str">
        <f>"123020208003"</f>
        <v>123020208003</v>
      </c>
      <c r="C83" s="3" t="str">
        <f>"吴林艳"</f>
        <v>吴林艳</v>
      </c>
      <c r="D83" s="3" t="str">
        <f t="shared" si="0"/>
        <v>女</v>
      </c>
      <c r="E83" s="3" t="str">
        <f>"统计学"</f>
        <v>统计学</v>
      </c>
      <c r="F83" s="3" t="str">
        <f>"应用多元统计分析"</f>
        <v>应用多元统计分析</v>
      </c>
      <c r="G83" s="3" t="str">
        <f>"专业必修课"</f>
        <v>专业必修课</v>
      </c>
      <c r="H83" s="3" t="str">
        <f>"周三第5，6节{第1-17周}，周三第7节{第1-17周}"</f>
        <v>周三第5，6节{第1-17周}，周三第7节{第1-17周}</v>
      </c>
      <c r="I83" s="3" t="str">
        <f>"统计学院"</f>
        <v>统计学院</v>
      </c>
      <c r="J83" s="3" t="str">
        <f>"夏怡凡"</f>
        <v>夏怡凡</v>
      </c>
    </row>
    <row r="84" ht="36" spans="1:10">
      <c r="A84" s="3">
        <v>82</v>
      </c>
      <c r="B84" s="3" t="str">
        <f>"124020101002"</f>
        <v>124020101002</v>
      </c>
      <c r="C84" s="3" t="str">
        <f>"李雨琦"</f>
        <v>李雨琦</v>
      </c>
      <c r="D84" s="3" t="str">
        <f t="shared" si="0"/>
        <v>女</v>
      </c>
      <c r="E84" s="3" t="str">
        <f>"政治经济学"</f>
        <v>政治经济学</v>
      </c>
      <c r="F84" s="3" t="str">
        <f>"宏观经济学"</f>
        <v>宏观经济学</v>
      </c>
      <c r="G84" s="3" t="str">
        <f>"学科基础课"</f>
        <v>学科基础课</v>
      </c>
      <c r="H84" s="3" t="str">
        <f>"周一第10，11，12节{第1-17周}"</f>
        <v>周一第10，11，12节{第1-17周}</v>
      </c>
      <c r="I84" s="3" t="str">
        <f>"经济学院"</f>
        <v>经济学院</v>
      </c>
      <c r="J84" s="3" t="str">
        <f>"林熙"</f>
        <v>林熙</v>
      </c>
    </row>
    <row r="85" ht="72" spans="1:10">
      <c r="A85" s="3">
        <v>83</v>
      </c>
      <c r="B85" s="3" t="str">
        <f>"223070100010"</f>
        <v>223070100010</v>
      </c>
      <c r="C85" s="3" t="str">
        <f>"罗巧妮"</f>
        <v>罗巧妮</v>
      </c>
      <c r="D85" s="3" t="str">
        <f t="shared" si="0"/>
        <v>女</v>
      </c>
      <c r="E85" s="3" t="str">
        <f>"数学"</f>
        <v>数学</v>
      </c>
      <c r="F85" s="3" t="str">
        <f>"高等数学Ⅱ"</f>
        <v>高等数学Ⅱ</v>
      </c>
      <c r="G85" s="3" t="str">
        <f>"通识基础课"</f>
        <v>通识基础课</v>
      </c>
      <c r="H85" s="3" t="str">
        <f>"周二第3，4节{第1-17周}，周四第1，2节{第1-17周}，周四第3节{第1-17周}"</f>
        <v>周二第3，4节{第1-17周}，周四第1，2节{第1-17周}，周四第3节{第1-17周}</v>
      </c>
      <c r="I85" s="3" t="str">
        <f>"数学学院"</f>
        <v>数学学院</v>
      </c>
      <c r="J85" s="3" t="str">
        <f>"李双龙"</f>
        <v>李双龙</v>
      </c>
    </row>
    <row r="86" ht="36" spans="1:10">
      <c r="A86" s="3">
        <v>84</v>
      </c>
      <c r="B86" s="3" t="str">
        <f>"121120201004"</f>
        <v>121120201004</v>
      </c>
      <c r="C86" s="3" t="str">
        <f>"王钰铃"</f>
        <v>王钰铃</v>
      </c>
      <c r="D86" s="3" t="str">
        <f t="shared" si="0"/>
        <v>女</v>
      </c>
      <c r="E86" s="3" t="str">
        <f>"会计学"</f>
        <v>会计学</v>
      </c>
      <c r="F86" s="3" t="str">
        <f>"会计学"</f>
        <v>会计学</v>
      </c>
      <c r="G86" s="3" t="str">
        <f>"学科基础课"</f>
        <v>学科基础课</v>
      </c>
      <c r="H86" s="3" t="str">
        <f>"周四第10，11，12节{第1-17周}"</f>
        <v>周四第10，11，12节{第1-17周}</v>
      </c>
      <c r="I86" s="3" t="str">
        <f>"会计学院"</f>
        <v>会计学院</v>
      </c>
      <c r="J86" s="3" t="str">
        <f>"李朝霞"</f>
        <v>李朝霞</v>
      </c>
    </row>
    <row r="87" ht="72" spans="1:10">
      <c r="A87" s="3">
        <v>85</v>
      </c>
      <c r="B87" s="3" t="str">
        <f>"223070100013"</f>
        <v>223070100013</v>
      </c>
      <c r="C87" s="3" t="str">
        <f>"王率澎"</f>
        <v>王率澎</v>
      </c>
      <c r="D87" s="3" t="str">
        <f>"男"</f>
        <v>男</v>
      </c>
      <c r="E87" s="3" t="str">
        <f>"数学"</f>
        <v>数学</v>
      </c>
      <c r="F87" s="3" t="str">
        <f>"高等数学Ⅱ"</f>
        <v>高等数学Ⅱ</v>
      </c>
      <c r="G87" s="3" t="str">
        <f>"通识基础课"</f>
        <v>通识基础课</v>
      </c>
      <c r="H87" s="3" t="str">
        <f>"周一第1，2节{第1-17周}，周三第1，2节{第1-17周}，周三第3节{第1-17周}"</f>
        <v>周一第1，2节{第1-17周}，周三第1，2节{第1-17周}，周三第3节{第1-17周}</v>
      </c>
      <c r="I87" s="3" t="str">
        <f>"数学学院"</f>
        <v>数学学院</v>
      </c>
      <c r="J87" s="3" t="str">
        <f>"刘文月"</f>
        <v>刘文月</v>
      </c>
    </row>
    <row r="88" ht="48" spans="1:10">
      <c r="A88" s="3">
        <v>86</v>
      </c>
      <c r="B88" s="3" t="str">
        <f>"1230202J8004"</f>
        <v>1230202J8004</v>
      </c>
      <c r="C88" s="3" t="str">
        <f>"谭雅蓝"</f>
        <v>谭雅蓝</v>
      </c>
      <c r="D88" s="3" t="str">
        <f>"女"</f>
        <v>女</v>
      </c>
      <c r="E88" s="3" t="str">
        <f>"经济大数据分析"</f>
        <v>经济大数据分析</v>
      </c>
      <c r="F88" s="3" t="str">
        <f>"线性代数"</f>
        <v>线性代数</v>
      </c>
      <c r="G88" s="3" t="str">
        <f>"通识基础课"</f>
        <v>通识基础课</v>
      </c>
      <c r="H88" s="3" t="str">
        <f>"周三第5，6节{第1-17周}，周三第7节{第1-17周}"</f>
        <v>周三第5，6节{第1-17周}，周三第7节{第1-17周}</v>
      </c>
      <c r="I88" s="3" t="str">
        <f>"数学学院"</f>
        <v>数学学院</v>
      </c>
      <c r="J88" s="3" t="str">
        <f>"樊胜"</f>
        <v>樊胜</v>
      </c>
    </row>
    <row r="89" ht="48" spans="1:10">
      <c r="A89" s="3">
        <v>87</v>
      </c>
      <c r="B89" s="3" t="str">
        <f>"2230202Z1019"</f>
        <v>2230202Z1019</v>
      </c>
      <c r="C89" s="3" t="str">
        <f>"夏汪洋"</f>
        <v>夏汪洋</v>
      </c>
      <c r="D89" s="3" t="str">
        <f>"男"</f>
        <v>男</v>
      </c>
      <c r="E89" s="3" t="str">
        <f>"数理金融学"</f>
        <v>数理金融学</v>
      </c>
      <c r="F89" s="3" t="str">
        <f>"线性代数"</f>
        <v>线性代数</v>
      </c>
      <c r="G89" s="3" t="str">
        <f>"通识基础课"</f>
        <v>通识基础课</v>
      </c>
      <c r="H89" s="3" t="str">
        <f>"周三第5，6节{第1-17周}，周三第7节{第1-17周}"</f>
        <v>周三第5，6节{第1-17周}，周三第7节{第1-17周}</v>
      </c>
      <c r="I89" s="3" t="str">
        <f>"数学学院"</f>
        <v>数学学院</v>
      </c>
      <c r="J89" s="3" t="str">
        <f>"韩本三"</f>
        <v>韩本三</v>
      </c>
    </row>
    <row r="90" ht="48" spans="1:10">
      <c r="A90" s="3">
        <v>88</v>
      </c>
      <c r="B90" s="3" t="str">
        <f>"224070100022"</f>
        <v>224070100022</v>
      </c>
      <c r="C90" s="3" t="str">
        <f>"朱韬承"</f>
        <v>朱韬承</v>
      </c>
      <c r="D90" s="3" t="str">
        <f>"男"</f>
        <v>男</v>
      </c>
      <c r="E90" s="3" t="str">
        <f>"数学"</f>
        <v>数学</v>
      </c>
      <c r="F90" s="3" t="str">
        <f>"数学建模与数学实验"</f>
        <v>数学建模与数学实验</v>
      </c>
      <c r="G90" s="3" t="str">
        <f>"实践环节课"</f>
        <v>实践环节课</v>
      </c>
      <c r="H90" s="3" t="str">
        <f>"周一第1，2节{第1-17周}，周一第3节{第1-17周}"</f>
        <v>周一第1，2节{第1-17周}，周一第3节{第1-17周}</v>
      </c>
      <c r="I90" s="3" t="s">
        <v>11</v>
      </c>
      <c r="J90" s="3" t="str">
        <f>"孙云龙"</f>
        <v>孙云龙</v>
      </c>
    </row>
    <row r="91" ht="48" spans="1:10">
      <c r="A91" s="3">
        <v>89</v>
      </c>
      <c r="B91" s="3" t="str">
        <f>"224071400030"</f>
        <v>224071400030</v>
      </c>
      <c r="C91" s="3" t="str">
        <f>"张瑜玮"</f>
        <v>张瑜玮</v>
      </c>
      <c r="D91" s="3" t="str">
        <f>"女"</f>
        <v>女</v>
      </c>
      <c r="E91" s="3" t="str">
        <f>"统计学"</f>
        <v>统计学</v>
      </c>
      <c r="F91" s="3" t="str">
        <f>"数据智能前沿"</f>
        <v>数据智能前沿</v>
      </c>
      <c r="G91" s="3" t="str">
        <f>"专业必修课"</f>
        <v>专业必修课</v>
      </c>
      <c r="H91" s="3" t="str">
        <f>"周五第5，6节{第1-17周}，周五第7节{第1-17周}"</f>
        <v>周五第5，6节{第1-17周}，周五第7节{第1-17周}</v>
      </c>
      <c r="I91" s="3" t="str">
        <f>"统计学院"</f>
        <v>统计学院</v>
      </c>
      <c r="J91" s="3" t="str">
        <f>"李可"</f>
        <v>李可</v>
      </c>
    </row>
    <row r="92" spans="1:10">
      <c r="A92" s="3">
        <v>90</v>
      </c>
      <c r="B92" s="3" t="str">
        <f>"124070100002"</f>
        <v>124070100002</v>
      </c>
      <c r="C92" s="3" t="str">
        <f>"陈良莉"</f>
        <v>陈良莉</v>
      </c>
      <c r="D92" s="3" t="str">
        <f>"女"</f>
        <v>女</v>
      </c>
      <c r="E92" s="3" t="str">
        <f>"数学"</f>
        <v>数学</v>
      </c>
      <c r="F92" s="3" t="str">
        <f>"线性代数MOOC"</f>
        <v>线性代数MOOC</v>
      </c>
      <c r="G92" s="3" t="str">
        <f>"慕课"</f>
        <v>慕课</v>
      </c>
      <c r="H92" s="3" t="str">
        <f>"2025年3-6月"</f>
        <v>2025年3-6月</v>
      </c>
      <c r="I92" s="3" t="str">
        <f>"数学学院"</f>
        <v>数学学院</v>
      </c>
      <c r="J92" s="3" t="str">
        <f>"韩本三"</f>
        <v>韩本三</v>
      </c>
    </row>
    <row r="93" ht="48" spans="1:10">
      <c r="A93" s="3">
        <v>91</v>
      </c>
      <c r="B93" s="3" t="str">
        <f>"123120201009"</f>
        <v>123120201009</v>
      </c>
      <c r="C93" s="3" t="str">
        <f>"赵静"</f>
        <v>赵静</v>
      </c>
      <c r="D93" s="3" t="str">
        <f>"女"</f>
        <v>女</v>
      </c>
      <c r="E93" s="3" t="str">
        <f>"会计学"</f>
        <v>会计学</v>
      </c>
      <c r="F93" s="3" t="str">
        <f>"财务管理"</f>
        <v>财务管理</v>
      </c>
      <c r="G93" s="3" t="str">
        <f>"专业方向课"</f>
        <v>专业方向课</v>
      </c>
      <c r="H93" s="3" t="str">
        <f>"周一第1，2节{第1-17周}，周一第3节{第1-17周}"</f>
        <v>周一第1，2节{第1-17周}，周一第3节{第1-17周}</v>
      </c>
      <c r="I93" s="3" t="str">
        <f>"会计学院"</f>
        <v>会计学院</v>
      </c>
      <c r="J93" s="3" t="str">
        <f>"吉利"</f>
        <v>吉利</v>
      </c>
    </row>
    <row r="94" ht="36" spans="1:10">
      <c r="A94" s="3">
        <v>92</v>
      </c>
      <c r="B94" s="3" t="str">
        <f>"1220202Z1002"</f>
        <v>1220202Z1002</v>
      </c>
      <c r="C94" s="3" t="str">
        <f>"李耀"</f>
        <v>李耀</v>
      </c>
      <c r="D94" s="3" t="str">
        <f>"男"</f>
        <v>男</v>
      </c>
      <c r="E94" s="3" t="str">
        <f>"数理金融学"</f>
        <v>数理金融学</v>
      </c>
      <c r="F94" s="3" t="str">
        <f>"复变函数"</f>
        <v>复变函数</v>
      </c>
      <c r="G94" s="3" t="str">
        <f>"大学科基础课"</f>
        <v>大学科基础课</v>
      </c>
      <c r="H94" s="3" t="str">
        <f>"周二第10，11，12节{第1-17周}"</f>
        <v>周二第10，11，12节{第1-17周}</v>
      </c>
      <c r="I94" s="3" t="s">
        <v>11</v>
      </c>
      <c r="J94" s="3" t="str">
        <f>"林一丁"</f>
        <v>林一丁</v>
      </c>
    </row>
    <row r="95" ht="72" spans="1:10">
      <c r="A95" s="3">
        <v>93</v>
      </c>
      <c r="B95" s="3" t="str">
        <f>"223070100025"</f>
        <v>223070100025</v>
      </c>
      <c r="C95" s="3" t="str">
        <f>"孙文娟"</f>
        <v>孙文娟</v>
      </c>
      <c r="D95" s="3" t="str">
        <f>"女"</f>
        <v>女</v>
      </c>
      <c r="E95" s="3" t="str">
        <f>"数学"</f>
        <v>数学</v>
      </c>
      <c r="F95" s="3" t="str">
        <f>"数学分析Ⅱ"</f>
        <v>数学分析Ⅱ</v>
      </c>
      <c r="G95" s="3" t="str">
        <f>"通识基础课"</f>
        <v>通识基础课</v>
      </c>
      <c r="H95" s="3" t="str">
        <f>"周二第10，11，12节{第1-17周}，周三第10，11，12节{第1-17周}"</f>
        <v>周二第10，11，12节{第1-17周}，周三第10，11，12节{第1-17周}</v>
      </c>
      <c r="I95" s="3" t="str">
        <f>"数学学院"</f>
        <v>数学学院</v>
      </c>
      <c r="J95" s="3" t="str">
        <f>"刘伟"</f>
        <v>刘伟</v>
      </c>
    </row>
    <row r="96" ht="24" spans="1:10">
      <c r="A96" s="3">
        <v>94</v>
      </c>
      <c r="B96" s="3" t="str">
        <f>"1240701Z1004"</f>
        <v>1240701Z1004</v>
      </c>
      <c r="C96" s="3" t="str">
        <f>"王勇"</f>
        <v>王勇</v>
      </c>
      <c r="D96" s="3" t="str">
        <f>"男"</f>
        <v>男</v>
      </c>
      <c r="E96" s="3" t="str">
        <f>"人工智能理论与应用"</f>
        <v>人工智能理论与应用</v>
      </c>
      <c r="F96" s="3" t="str">
        <f>"机器学习"</f>
        <v>机器学习</v>
      </c>
      <c r="G96" s="3" t="str">
        <f>"自由选修课"</f>
        <v>自由选修课</v>
      </c>
      <c r="H96" s="3" t="str">
        <f>"周四第3，4节{第1-17周}"</f>
        <v>周四第3，4节{第1-17周}</v>
      </c>
      <c r="I96" s="3" t="s">
        <v>12</v>
      </c>
      <c r="J96" s="3" t="str">
        <f>"黄迟"</f>
        <v>黄迟</v>
      </c>
    </row>
    <row r="97" ht="48" spans="1:10">
      <c r="A97" s="3">
        <v>95</v>
      </c>
      <c r="B97" s="3" t="str">
        <f>"122020204028"</f>
        <v>122020204028</v>
      </c>
      <c r="C97" s="3" t="str">
        <f>"周怡洁"</f>
        <v>周怡洁</v>
      </c>
      <c r="D97" s="3" t="str">
        <f>"女"</f>
        <v>女</v>
      </c>
      <c r="E97" s="3" t="str">
        <f>"金融学"</f>
        <v>金融学</v>
      </c>
      <c r="F97" s="3" t="str">
        <f>"货币金融学"</f>
        <v>货币金融学</v>
      </c>
      <c r="G97" s="3" t="str">
        <f>"大学科基础课"</f>
        <v>大学科基础课</v>
      </c>
      <c r="H97" s="3" t="str">
        <f>"周四第5，6节{第1-17周}，周四第7节{第1-17周}"</f>
        <v>周四第5，6节{第1-17周}，周四第7节{第1-17周}</v>
      </c>
      <c r="I97" s="3" t="str">
        <f>"金融学院"</f>
        <v>金融学院</v>
      </c>
      <c r="J97" s="3" t="str">
        <f>"戴艳萍"</f>
        <v>戴艳萍</v>
      </c>
    </row>
    <row r="98" ht="36" spans="1:10">
      <c r="A98" s="3">
        <v>96</v>
      </c>
      <c r="B98" s="3" t="str">
        <f>"122120100003"</f>
        <v>122120100003</v>
      </c>
      <c r="C98" s="3" t="str">
        <f>"鲜宇鑫"</f>
        <v>鲜宇鑫</v>
      </c>
      <c r="D98" s="3" t="str">
        <f>"男"</f>
        <v>男</v>
      </c>
      <c r="E98" s="3" t="str">
        <f>"管理科学与工程"</f>
        <v>管理科学与工程</v>
      </c>
      <c r="F98" s="3" t="str">
        <f>"经济博弈论"</f>
        <v>经济博弈论</v>
      </c>
      <c r="G98" s="3" t="str">
        <f>"专业方向课"</f>
        <v>专业方向课</v>
      </c>
      <c r="H98" s="3" t="str">
        <f>"周一第10，11，12节{第1-17周}"</f>
        <v>周一第10，11，12节{第1-17周}</v>
      </c>
      <c r="I98" s="3" t="str">
        <f>"管理科学与工程学院"</f>
        <v>管理科学与工程学院</v>
      </c>
      <c r="J98" s="3" t="str">
        <f>"刘宏鲲"</f>
        <v>刘宏鲲</v>
      </c>
    </row>
    <row r="99" ht="36" spans="1:10">
      <c r="A99" s="3">
        <v>97</v>
      </c>
      <c r="B99" s="3" t="str">
        <f>"124020208004"</f>
        <v>124020208004</v>
      </c>
      <c r="C99" s="3" t="str">
        <f>"陈佳丽"</f>
        <v>陈佳丽</v>
      </c>
      <c r="D99" s="3" t="str">
        <f>"女"</f>
        <v>女</v>
      </c>
      <c r="E99" s="3" t="str">
        <f>"统计学"</f>
        <v>统计学</v>
      </c>
      <c r="F99" s="3" t="str">
        <f>"数理统计（理）"</f>
        <v>数理统计（理）</v>
      </c>
      <c r="G99" s="3" t="str">
        <f>"大学科基础课"</f>
        <v>大学科基础课</v>
      </c>
      <c r="H99" s="3" t="str">
        <f>"周二第10，11，12节{第1-17周}"</f>
        <v>周二第10，11，12节{第1-17周}</v>
      </c>
      <c r="I99" s="3" t="str">
        <f>"统计学院"</f>
        <v>统计学院</v>
      </c>
      <c r="J99" s="3" t="str">
        <f>"马铁丰"</f>
        <v>马铁丰</v>
      </c>
    </row>
    <row r="100" ht="72" spans="1:10">
      <c r="A100" s="3">
        <v>98</v>
      </c>
      <c r="B100" s="3" t="str">
        <f>"121020208006"</f>
        <v>121020208006</v>
      </c>
      <c r="C100" s="3" t="str">
        <f>"刘国军"</f>
        <v>刘国军</v>
      </c>
      <c r="D100" s="3" t="str">
        <f>"男"</f>
        <v>男</v>
      </c>
      <c r="E100" s="3" t="str">
        <f>"统计学"</f>
        <v>统计学</v>
      </c>
      <c r="F100" s="3" t="str">
        <f>"高等代数（英文）"</f>
        <v>高等代数（英文）</v>
      </c>
      <c r="G100" s="3" t="str">
        <f>"通识基础课"</f>
        <v>通识基础课</v>
      </c>
      <c r="H100" s="3" t="str">
        <f>"周二第1，2节{第1-17周}，周二第3节{第1-17周}，周四第1，2节{第1-17周}"</f>
        <v>周二第1，2节{第1-17周}，周二第3节{第1-17周}，周四第1，2节{第1-17周}</v>
      </c>
      <c r="I100" s="3" t="str">
        <f>"数学学院"</f>
        <v>数学学院</v>
      </c>
      <c r="J100" s="3" t="str">
        <f>"赵铭锋"</f>
        <v>赵铭锋</v>
      </c>
    </row>
    <row r="101" ht="72" spans="1:10">
      <c r="A101" s="3">
        <v>99</v>
      </c>
      <c r="B101" s="3" t="str">
        <f>"1210202J5003"</f>
        <v>1210202J5003</v>
      </c>
      <c r="C101" s="3" t="str">
        <f>"唐小雪"</f>
        <v>唐小雪</v>
      </c>
      <c r="D101" s="3" t="str">
        <f>"女"</f>
        <v>女</v>
      </c>
      <c r="E101" s="3" t="str">
        <f>"农业经济学"</f>
        <v>农业经济学</v>
      </c>
      <c r="F101" s="3" t="str">
        <f>"高等数学Ⅱ"</f>
        <v>高等数学Ⅱ</v>
      </c>
      <c r="G101" s="3" t="str">
        <f>"通识基础课"</f>
        <v>通识基础课</v>
      </c>
      <c r="H101" s="3" t="str">
        <f>"周三第3，4节{第1-17周}，周五第5，6节{第1-17周}，周五第7节{第1-17周}"</f>
        <v>周三第3，4节{第1-17周}，周五第5，6节{第1-17周}，周五第7节{第1-17周}</v>
      </c>
      <c r="I101" s="3" t="str">
        <f>"数学学院"</f>
        <v>数学学院</v>
      </c>
      <c r="J101" s="3" t="str">
        <f>"王锐"</f>
        <v>王锐</v>
      </c>
    </row>
    <row r="102" ht="48" spans="1:10">
      <c r="A102" s="3">
        <v>100</v>
      </c>
      <c r="B102" s="3" t="str">
        <f>"122020204061"</f>
        <v>122020204061</v>
      </c>
      <c r="C102" s="3" t="str">
        <f>"吴廷炜"</f>
        <v>吴廷炜</v>
      </c>
      <c r="D102" s="3" t="str">
        <f>"男"</f>
        <v>男</v>
      </c>
      <c r="E102" s="3" t="str">
        <f>"金融学"</f>
        <v>金融学</v>
      </c>
      <c r="F102" s="3" t="str">
        <f>"国际经济学（英）"</f>
        <v>国际经济学（英）</v>
      </c>
      <c r="G102" s="3" t="str">
        <f>"专业必修课"</f>
        <v>专业必修课</v>
      </c>
      <c r="H102" s="3" t="str">
        <f>"周一第1，2节{第1-17周}，周一第3节{第1-17周}"</f>
        <v>周一第1，2节{第1-17周}，周一第3节{第1-17周}</v>
      </c>
      <c r="I102" s="3" t="str">
        <f>"经济与管理研究院"</f>
        <v>经济与管理研究院</v>
      </c>
      <c r="J102" s="3" t="str">
        <f>"吴季"</f>
        <v>吴季</v>
      </c>
    </row>
    <row r="103" ht="48" spans="1:10">
      <c r="A103" s="3">
        <v>101</v>
      </c>
      <c r="B103" s="3" t="str">
        <f>"223081200042"</f>
        <v>223081200042</v>
      </c>
      <c r="C103" s="3" t="str">
        <f>"梁昊扬"</f>
        <v>梁昊扬</v>
      </c>
      <c r="D103" s="3" t="str">
        <f>"男"</f>
        <v>男</v>
      </c>
      <c r="E103" s="3" t="str">
        <f>"计算机科学与技术"</f>
        <v>计算机科学与技术</v>
      </c>
      <c r="F103" s="3" t="str">
        <f>"程序设计及应用（Python）"</f>
        <v>程序设计及应用（Python）</v>
      </c>
      <c r="G103" s="3" t="str">
        <f>"通识基础课"</f>
        <v>通识基础课</v>
      </c>
      <c r="H103" s="3" t="str">
        <f>"周三第1，2节{第1-17周}，周三第3节{第1-17周}"</f>
        <v>周三第1，2节{第1-17周}，周三第3节{第1-17周}</v>
      </c>
      <c r="I103" s="3" t="s">
        <v>12</v>
      </c>
      <c r="J103" s="3" t="str">
        <f>"薛飞"</f>
        <v>薛飞</v>
      </c>
    </row>
    <row r="104" ht="48" spans="1:10">
      <c r="A104" s="3">
        <v>102</v>
      </c>
      <c r="B104" s="3" t="str">
        <f>"224071400011"</f>
        <v>224071400011</v>
      </c>
      <c r="C104" s="3" t="str">
        <f>"曾志军"</f>
        <v>曾志军</v>
      </c>
      <c r="D104" s="3" t="str">
        <f>"男"</f>
        <v>男</v>
      </c>
      <c r="E104" s="3" t="str">
        <f>"统计学"</f>
        <v>统计学</v>
      </c>
      <c r="F104" s="3" t="str">
        <f>"概率论（理科）"</f>
        <v>概率论（理科）</v>
      </c>
      <c r="G104" s="3" t="str">
        <f>"通识基础课"</f>
        <v>通识基础课</v>
      </c>
      <c r="H104" s="3" t="str">
        <f>"周二第3，4节{第1-17周}，周五第1，2节{第1-17周}"</f>
        <v>周二第3，4节{第1-17周}，周五第1，2节{第1-17周}</v>
      </c>
      <c r="I104" s="3" t="s">
        <v>11</v>
      </c>
      <c r="J104" s="3" t="str">
        <f>"马捷"</f>
        <v>马捷</v>
      </c>
    </row>
    <row r="105" ht="48" spans="1:10">
      <c r="A105" s="3">
        <v>103</v>
      </c>
      <c r="B105" s="3" t="str">
        <f>"224120201001"</f>
        <v>224120201001</v>
      </c>
      <c r="C105" s="3" t="str">
        <f>"张家辉"</f>
        <v>张家辉</v>
      </c>
      <c r="D105" s="3" t="str">
        <f>"男"</f>
        <v>男</v>
      </c>
      <c r="E105" s="3" t="str">
        <f>"会计学"</f>
        <v>会计学</v>
      </c>
      <c r="F105" s="3" t="str">
        <f>"会计学原理"</f>
        <v>会计学原理</v>
      </c>
      <c r="G105" s="3" t="str">
        <f>"学科基础课"</f>
        <v>学科基础课</v>
      </c>
      <c r="H105" s="3" t="str">
        <f>"周五第1，2节{第1-17周}，周五第3节{第1-17周}"</f>
        <v>周五第1，2节{第1-17周}，周五第3节{第1-17周}</v>
      </c>
      <c r="I105" s="3" t="str">
        <f>"会计学院"</f>
        <v>会计学院</v>
      </c>
      <c r="J105" s="3" t="str">
        <f>"冯建"</f>
        <v>冯建</v>
      </c>
    </row>
    <row r="106" ht="48" spans="1:10">
      <c r="A106" s="3">
        <v>104</v>
      </c>
      <c r="B106" s="3" t="str">
        <f>"224081200027"</f>
        <v>224081200027</v>
      </c>
      <c r="C106" s="3" t="str">
        <f>"郑江涛"</f>
        <v>郑江涛</v>
      </c>
      <c r="D106" s="3" t="str">
        <f>"男"</f>
        <v>男</v>
      </c>
      <c r="E106" s="3" t="str">
        <f>"计算机科学与技术"</f>
        <v>计算机科学与技术</v>
      </c>
      <c r="F106" s="3" t="str">
        <f>"机器学习"</f>
        <v>机器学习</v>
      </c>
      <c r="G106" s="3" t="str">
        <f>"专业必修课"</f>
        <v>专业必修课</v>
      </c>
      <c r="H106" s="3" t="str">
        <f>"周一第5，6节{第1-17周}，周一第7节{第1-17周}"</f>
        <v>周一第5，6节{第1-17周}，周一第7节{第1-17周}</v>
      </c>
      <c r="I106" s="3" t="str">
        <f>"计算机与人工智能学院"</f>
        <v>计算机与人工智能学院</v>
      </c>
      <c r="J106" s="3" t="str">
        <f>"温良剑"</f>
        <v>温良剑</v>
      </c>
    </row>
    <row r="107" ht="48" spans="1:10">
      <c r="A107" s="3">
        <v>105</v>
      </c>
      <c r="B107" s="3" t="str">
        <f>"2240202Z1003"</f>
        <v>2240202Z1003</v>
      </c>
      <c r="C107" s="3" t="str">
        <f>"邵淑亚"</f>
        <v>邵淑亚</v>
      </c>
      <c r="D107" s="3" t="str">
        <f>"女"</f>
        <v>女</v>
      </c>
      <c r="E107" s="3" t="str">
        <f>"数理金融学"</f>
        <v>数理金融学</v>
      </c>
      <c r="F107" s="3" t="str">
        <f>"数理统计"</f>
        <v>数理统计</v>
      </c>
      <c r="G107" s="3" t="str">
        <f>"专业必修课"</f>
        <v>专业必修课</v>
      </c>
      <c r="H107" s="3" t="str">
        <f>"周三第1，2节{第1-17周}，周三第3节{第1-17周}"</f>
        <v>周三第1，2节{第1-17周}，周三第3节{第1-17周}</v>
      </c>
      <c r="I107" s="3" t="s">
        <v>11</v>
      </c>
      <c r="J107" s="3" t="str">
        <f>"林谦"</f>
        <v>林谦</v>
      </c>
    </row>
    <row r="108" ht="84" spans="1:10">
      <c r="A108" s="3">
        <v>106</v>
      </c>
      <c r="B108" s="3" t="str">
        <f>"224070100011"</f>
        <v>224070100011</v>
      </c>
      <c r="C108" s="3" t="str">
        <f>"罗鑫"</f>
        <v>罗鑫</v>
      </c>
      <c r="D108" s="3" t="str">
        <f>"男"</f>
        <v>男</v>
      </c>
      <c r="E108" s="3" t="str">
        <f>"数学"</f>
        <v>数学</v>
      </c>
      <c r="F108" s="3" t="str">
        <f>"高等数学Ⅱ"</f>
        <v>高等数学Ⅱ</v>
      </c>
      <c r="G108" s="3" t="str">
        <f>"通识基础课"</f>
        <v>通识基础课</v>
      </c>
      <c r="H108" s="3" t="str">
        <f>"周二第10，11节{第1-17周}，周四第5，6节{第1-17周}，周四第7节{第1-17周}"</f>
        <v>周二第10，11节{第1-17周}，周四第5，6节{第1-17周}，周四第7节{第1-17周}</v>
      </c>
      <c r="I108" s="3" t="str">
        <f>"数学学院"</f>
        <v>数学学院</v>
      </c>
      <c r="J108" s="3" t="str">
        <f>"谢莹莹"</f>
        <v>谢莹莹</v>
      </c>
    </row>
    <row r="109" ht="48" spans="1:10">
      <c r="A109" s="3">
        <v>107</v>
      </c>
      <c r="B109" s="3" t="str">
        <f>"224020208007"</f>
        <v>224020208007</v>
      </c>
      <c r="C109" s="3" t="str">
        <f>"谢雨桐"</f>
        <v>谢雨桐</v>
      </c>
      <c r="D109" s="3" t="str">
        <f>"女"</f>
        <v>女</v>
      </c>
      <c r="E109" s="3" t="str">
        <f>"统计学"</f>
        <v>统计学</v>
      </c>
      <c r="F109" s="3" t="str">
        <f>"应用多元统计分析"</f>
        <v>应用多元统计分析</v>
      </c>
      <c r="G109" s="3" t="str">
        <f>"专业必修课"</f>
        <v>专业必修课</v>
      </c>
      <c r="H109" s="3" t="str">
        <f>"周三第5，6节{第1-17周}，周三第7节{第1-17周}"</f>
        <v>周三第5，6节{第1-17周}，周三第7节{第1-17周}</v>
      </c>
      <c r="I109" s="3" t="str">
        <f>"统计学院"</f>
        <v>统计学院</v>
      </c>
      <c r="J109" s="3" t="str">
        <f>"夏怡凡"</f>
        <v>夏怡凡</v>
      </c>
    </row>
    <row r="110" ht="48" spans="1:10">
      <c r="A110" s="3">
        <v>108</v>
      </c>
      <c r="B110" s="3" t="str">
        <f>"224071400002"</f>
        <v>224071400002</v>
      </c>
      <c r="C110" s="3" t="str">
        <f>"石元塬"</f>
        <v>石元塬</v>
      </c>
      <c r="D110" s="3" t="str">
        <f>"男"</f>
        <v>男</v>
      </c>
      <c r="E110" s="3" t="str">
        <f>"统计学"</f>
        <v>统计学</v>
      </c>
      <c r="F110" s="3" t="str">
        <f>"随机过程"</f>
        <v>随机过程</v>
      </c>
      <c r="G110" s="3" t="str">
        <f>"专业方向课"</f>
        <v>专业方向课</v>
      </c>
      <c r="H110" s="3" t="str">
        <f>"周四第1，2节{第1-17周}，周四第3节{第1-17周}"</f>
        <v>周四第1，2节{第1-17周}，周四第3节{第1-17周}</v>
      </c>
      <c r="I110" s="3" t="s">
        <v>11</v>
      </c>
      <c r="J110" s="3" t="str">
        <f>"骆川义"</f>
        <v>骆川义</v>
      </c>
    </row>
    <row r="111" ht="48" spans="1:10">
      <c r="A111" s="3">
        <v>109</v>
      </c>
      <c r="B111" s="3" t="str">
        <f>"224020208005"</f>
        <v>224020208005</v>
      </c>
      <c r="C111" s="3" t="str">
        <f>"吴佩欣"</f>
        <v>吴佩欣</v>
      </c>
      <c r="D111" s="3" t="str">
        <f>"女"</f>
        <v>女</v>
      </c>
      <c r="E111" s="3" t="str">
        <f>"统计学"</f>
        <v>统计学</v>
      </c>
      <c r="F111" s="3" t="str">
        <f>"统计学"</f>
        <v>统计学</v>
      </c>
      <c r="G111" s="3" t="str">
        <f>"大学科基础课"</f>
        <v>大学科基础课</v>
      </c>
      <c r="H111" s="3" t="str">
        <f>"周一第5，6节{第1-17周}，周一第7节{第1-17周}"</f>
        <v>周一第5，6节{第1-17周}，周一第7节{第1-17周}</v>
      </c>
      <c r="I111" s="3" t="str">
        <f>"统计学院"</f>
        <v>统计学院</v>
      </c>
      <c r="J111" s="3" t="str">
        <f>"彭刚"</f>
        <v>彭刚</v>
      </c>
    </row>
    <row r="112" ht="36" spans="1:10">
      <c r="A112" s="3">
        <v>110</v>
      </c>
      <c r="B112" s="3" t="str">
        <f>"223020209008"</f>
        <v>223020209008</v>
      </c>
      <c r="C112" s="3" t="str">
        <f>"张一帆"</f>
        <v>张一帆</v>
      </c>
      <c r="D112" s="3" t="str">
        <f>"男"</f>
        <v>男</v>
      </c>
      <c r="E112" s="3" t="str">
        <f>"数量经济学"</f>
        <v>数量经济学</v>
      </c>
      <c r="F112" s="3" t="str">
        <f>"数理统计（理）"</f>
        <v>数理统计（理）</v>
      </c>
      <c r="G112" s="3" t="str">
        <f>"专业方向课"</f>
        <v>专业方向课</v>
      </c>
      <c r="H112" s="3" t="str">
        <f>"周四第10，11，12节{第1-17周}"</f>
        <v>周四第10，11，12节{第1-17周}</v>
      </c>
      <c r="I112" s="3" t="str">
        <f>"统计学院"</f>
        <v>统计学院</v>
      </c>
      <c r="J112" s="3" t="str">
        <f>"高春燕"</f>
        <v>高春燕</v>
      </c>
    </row>
    <row r="113" ht="48" spans="1:10">
      <c r="A113" s="3">
        <v>111</v>
      </c>
      <c r="B113" s="3" t="str">
        <f>"2230202Z1018"</f>
        <v>2230202Z1018</v>
      </c>
      <c r="C113" s="3" t="str">
        <f>"宋兰青"</f>
        <v>宋兰青</v>
      </c>
      <c r="D113" s="3" t="str">
        <f>"女"</f>
        <v>女</v>
      </c>
      <c r="E113" s="3" t="str">
        <f>"数理金融学"</f>
        <v>数理金融学</v>
      </c>
      <c r="F113" s="3" t="str">
        <f>"概率论（理科）"</f>
        <v>概率论（理科）</v>
      </c>
      <c r="G113" s="3" t="str">
        <f>"通识基础课"</f>
        <v>通识基础课</v>
      </c>
      <c r="H113" s="3" t="str">
        <f>"周三第3，4节{第1-17周}，周四第3，4节{第1-17周}"</f>
        <v>周三第3，4节{第1-17周}，周四第3，4节{第1-17周}</v>
      </c>
      <c r="I113" s="3" t="s">
        <v>11</v>
      </c>
      <c r="J113" s="3" t="str">
        <f>"吴萌"</f>
        <v>吴萌</v>
      </c>
    </row>
    <row r="114" ht="48" spans="1:10">
      <c r="A114" s="3">
        <v>112</v>
      </c>
      <c r="B114" s="3" t="str">
        <f>"223070100005"</f>
        <v>223070100005</v>
      </c>
      <c r="C114" s="3" t="str">
        <f>"傅连吉"</f>
        <v>傅连吉</v>
      </c>
      <c r="D114" s="3" t="str">
        <f>"男"</f>
        <v>男</v>
      </c>
      <c r="E114" s="3" t="str">
        <f>"数学"</f>
        <v>数学</v>
      </c>
      <c r="F114" s="3" t="str">
        <f>"矩阵分析"</f>
        <v>矩阵分析</v>
      </c>
      <c r="G114" s="3" t="str">
        <f>"专业方向课"</f>
        <v>专业方向课</v>
      </c>
      <c r="H114" s="3" t="str">
        <f>"周五第5，6节{第1-17周}，周五第7节{第1-17周}"</f>
        <v>周五第5，6节{第1-17周}，周五第7节{第1-17周}</v>
      </c>
      <c r="I114" s="3" t="s">
        <v>11</v>
      </c>
      <c r="J114" s="3" t="str">
        <f>"顾先明"</f>
        <v>顾先明</v>
      </c>
    </row>
    <row r="115" ht="60" spans="1:10">
      <c r="A115" s="3">
        <v>113</v>
      </c>
      <c r="B115" s="3" t="str">
        <f>"223070100008"</f>
        <v>223070100008</v>
      </c>
      <c r="C115" s="3" t="str">
        <f>"刘杉芾"</f>
        <v>刘杉芾</v>
      </c>
      <c r="D115" s="3" t="str">
        <f>"女"</f>
        <v>女</v>
      </c>
      <c r="E115" s="3" t="str">
        <f>"数学"</f>
        <v>数学</v>
      </c>
      <c r="F115" s="3" t="str">
        <f>"高等代数Ⅰ"</f>
        <v>高等代数Ⅰ</v>
      </c>
      <c r="G115" s="3" t="str">
        <f>"通识基础课"</f>
        <v>通识基础课</v>
      </c>
      <c r="H115" s="3" t="str">
        <f>"周二第10，11节{第1-17周}，周四第3，4节{第1-17周}"</f>
        <v>周二第10，11节{第1-17周}，周四第3，4节{第1-17周}</v>
      </c>
      <c r="I115" s="3" t="str">
        <f>"数学学院"</f>
        <v>数学学院</v>
      </c>
      <c r="J115" s="3" t="str">
        <f>"曾嵘"</f>
        <v>曾嵘</v>
      </c>
    </row>
    <row r="116" ht="48" spans="1:10">
      <c r="A116" s="3">
        <v>114</v>
      </c>
      <c r="B116" s="3" t="str">
        <f>"224020204117"</f>
        <v>224020204117</v>
      </c>
      <c r="C116" s="3" t="str">
        <f>"王宇颿"</f>
        <v>王宇颿</v>
      </c>
      <c r="D116" s="3" t="str">
        <f>"男"</f>
        <v>男</v>
      </c>
      <c r="E116" s="3" t="str">
        <f>"金融学"</f>
        <v>金融学</v>
      </c>
      <c r="F116" s="3" t="str">
        <f>"货币金融学"</f>
        <v>货币金融学</v>
      </c>
      <c r="G116" s="3" t="str">
        <f>"大学科基础课"</f>
        <v>大学科基础课</v>
      </c>
      <c r="H116" s="3" t="str">
        <f>"周一第1，2节{第1-17周}，周一第3节{第1-17周}"</f>
        <v>周一第1，2节{第1-17周}，周一第3节{第1-17周}</v>
      </c>
      <c r="I116" s="3" t="str">
        <f>"金融学院"</f>
        <v>金融学院</v>
      </c>
      <c r="J116" s="3" t="str">
        <f>"黄宇虹"</f>
        <v>黄宇虹</v>
      </c>
    </row>
    <row r="117" ht="36" spans="1:10">
      <c r="A117" s="3">
        <v>115</v>
      </c>
      <c r="B117" s="3" t="str">
        <f>"2230202J6006"</f>
        <v>2230202J6006</v>
      </c>
      <c r="C117" s="3" t="str">
        <f>"姜倩"</f>
        <v>姜倩</v>
      </c>
      <c r="D117" s="3" t="str">
        <f>"女"</f>
        <v>女</v>
      </c>
      <c r="E117" s="3" t="str">
        <f>"行为金融学"</f>
        <v>行为金融学</v>
      </c>
      <c r="F117" s="3" t="str">
        <f>"宏观经济学"</f>
        <v>宏观经济学</v>
      </c>
      <c r="G117" s="3" t="str">
        <f>"学科基础课"</f>
        <v>学科基础课</v>
      </c>
      <c r="H117" s="3" t="str">
        <f>"周一第10，11，12节{第1-17周}"</f>
        <v>周一第10，11，12节{第1-17周}</v>
      </c>
      <c r="I117" s="3" t="str">
        <f>"经济学院"</f>
        <v>经济学院</v>
      </c>
      <c r="J117" s="3" t="str">
        <f>"王子奇"</f>
        <v>王子奇</v>
      </c>
    </row>
    <row r="118" ht="48" spans="1:10">
      <c r="A118" s="3">
        <v>116</v>
      </c>
      <c r="B118" s="3" t="str">
        <f>"2230202Z1009"</f>
        <v>2230202Z1009</v>
      </c>
      <c r="C118" s="3" t="str">
        <f>"梁子建"</f>
        <v>梁子建</v>
      </c>
      <c r="D118" s="3" t="str">
        <f>"男"</f>
        <v>男</v>
      </c>
      <c r="E118" s="3" t="str">
        <f>"数理金融学"</f>
        <v>数理金融学</v>
      </c>
      <c r="F118" s="3" t="str">
        <f>"数理统计"</f>
        <v>数理统计</v>
      </c>
      <c r="G118" s="3" t="str">
        <f>"大学科基础课"</f>
        <v>大学科基础课</v>
      </c>
      <c r="H118" s="3" t="str">
        <f>"周二第1，2节{第1-17周}，周二第3节{第1-17周}"</f>
        <v>周二第1，2节{第1-17周}，周二第3节{第1-17周}</v>
      </c>
      <c r="I118" s="3" t="s">
        <v>11</v>
      </c>
      <c r="J118" s="3" t="str">
        <f>"李绍文"</f>
        <v>李绍文</v>
      </c>
    </row>
    <row r="119" ht="24" spans="1:10">
      <c r="A119" s="3">
        <v>117</v>
      </c>
      <c r="B119" s="3" t="str">
        <f>"224030503015"</f>
        <v>224030503015</v>
      </c>
      <c r="C119" s="3" t="str">
        <f>"蒋燕频"</f>
        <v>蒋燕频</v>
      </c>
      <c r="D119" s="3" t="str">
        <f>"女"</f>
        <v>女</v>
      </c>
      <c r="E119" s="3" t="str">
        <f>"马克思主义中国化研究"</f>
        <v>马克思主义中国化研究</v>
      </c>
      <c r="F119" s="3" t="str">
        <f>"思想道德与法治"</f>
        <v>思想道德与法治</v>
      </c>
      <c r="G119" s="3" t="str">
        <f>"通识基础课"</f>
        <v>通识基础课</v>
      </c>
      <c r="H119" s="3" t="str">
        <f>"周五第8，9节{第1-17周}"</f>
        <v>周五第8，9节{第1-17周}</v>
      </c>
      <c r="I119" s="3" t="str">
        <f>"马克思主义学院"</f>
        <v>马克思主义学院</v>
      </c>
      <c r="J119" s="3" t="str">
        <f>"吕君怡"</f>
        <v>吕君怡</v>
      </c>
    </row>
    <row r="120" ht="72" spans="1:10">
      <c r="A120" s="3">
        <v>118</v>
      </c>
      <c r="B120" s="3" t="str">
        <f>"2230202Z1006"</f>
        <v>2230202Z1006</v>
      </c>
      <c r="C120" s="3" t="str">
        <f>"杨传旺"</f>
        <v>杨传旺</v>
      </c>
      <c r="D120" s="3" t="str">
        <f>"男"</f>
        <v>男</v>
      </c>
      <c r="E120" s="3" t="str">
        <f>"数理金融学"</f>
        <v>数理金融学</v>
      </c>
      <c r="F120" s="3" t="str">
        <f>"高等数学Ⅱ"</f>
        <v>高等数学Ⅱ</v>
      </c>
      <c r="G120" s="3" t="str">
        <f>"通识基础课"</f>
        <v>通识基础课</v>
      </c>
      <c r="H120" s="3" t="str">
        <f>"周二第3，4节{第1-17周}，周四第1，2节{第1-17周}，周四第3节{第1-17周}"</f>
        <v>周二第3，4节{第1-17周}，周四第1，2节{第1-17周}，周四第3节{第1-17周}</v>
      </c>
      <c r="I120" s="3" t="s">
        <v>11</v>
      </c>
      <c r="J120" s="3" t="str">
        <f>"代宏霞"</f>
        <v>代宏霞</v>
      </c>
    </row>
    <row r="121" ht="48" spans="1:10">
      <c r="A121" s="3">
        <v>119</v>
      </c>
      <c r="B121" s="3" t="str">
        <f>"124070100001"</f>
        <v>124070100001</v>
      </c>
      <c r="C121" s="3" t="str">
        <f>"毕皓"</f>
        <v>毕皓</v>
      </c>
      <c r="D121" s="3" t="str">
        <f>"男"</f>
        <v>男</v>
      </c>
      <c r="E121" s="3" t="str">
        <f>"数学"</f>
        <v>数学</v>
      </c>
      <c r="F121" s="3" t="str">
        <f>"微分方程数值解"</f>
        <v>微分方程数值解</v>
      </c>
      <c r="G121" s="3" t="str">
        <f>"专业方向课"</f>
        <v>专业方向课</v>
      </c>
      <c r="H121" s="3" t="str">
        <f>"周四第1，2节{第1-17周}，周四第3节{第1-17周}"</f>
        <v>周四第1，2节{第1-17周}，周四第3节{第1-17周}</v>
      </c>
      <c r="I121" s="3" t="str">
        <f>"数学学院"</f>
        <v>数学学院</v>
      </c>
      <c r="J121" s="3" t="str">
        <f>"谢莹莹"</f>
        <v>谢莹莹</v>
      </c>
    </row>
    <row r="122" ht="24" spans="1:10">
      <c r="A122" s="3">
        <v>120</v>
      </c>
      <c r="B122" s="3" t="str">
        <f>"123030501001"</f>
        <v>123030501001</v>
      </c>
      <c r="C122" s="3" t="str">
        <f>"孟凡洋"</f>
        <v>孟凡洋</v>
      </c>
      <c r="D122" s="3" t="str">
        <f>"男"</f>
        <v>男</v>
      </c>
      <c r="E122" s="3" t="str">
        <f>"马克思主义基本原理"</f>
        <v>马克思主义基本原理</v>
      </c>
      <c r="F122" s="3" t="str">
        <f>"马克思主义基本原理"</f>
        <v>马克思主义基本原理</v>
      </c>
      <c r="G122" s="3" t="str">
        <f>"通识基础课"</f>
        <v>通识基础课</v>
      </c>
      <c r="H122" s="3" t="str">
        <f>"周三第8，9节{第1-17周}"</f>
        <v>周三第8，9节{第1-17周}</v>
      </c>
      <c r="I122" s="3" t="str">
        <f>"马克思主义学院"</f>
        <v>马克思主义学院</v>
      </c>
      <c r="J122" s="3" t="str">
        <f>"杨楹"</f>
        <v>杨楹</v>
      </c>
    </row>
    <row r="123" ht="24" spans="1:10">
      <c r="A123" s="3">
        <v>121</v>
      </c>
      <c r="B123" s="3" t="str">
        <f>"1230701Z1005"</f>
        <v>1230701Z1005</v>
      </c>
      <c r="C123" s="3" t="str">
        <f>"潘超凡"</f>
        <v>潘超凡</v>
      </c>
      <c r="D123" s="3" t="str">
        <f>"男"</f>
        <v>男</v>
      </c>
      <c r="E123" s="3" t="str">
        <f>"人工智能理论与应用"</f>
        <v>人工智能理论与应用</v>
      </c>
      <c r="F123" s="3" t="str">
        <f>"现代科技与人工智能"</f>
        <v>现代科技与人工智能</v>
      </c>
      <c r="G123" s="3" t="str">
        <f>"通识核心课"</f>
        <v>通识核心课</v>
      </c>
      <c r="H123" s="3" t="str">
        <f>"周四第3，4节{第1-17周}"</f>
        <v>周四第3，4节{第1-17周}</v>
      </c>
      <c r="I123" s="3" t="str">
        <f>"计算机与人工智能学院"</f>
        <v>计算机与人工智能学院</v>
      </c>
      <c r="J123" s="3" t="str">
        <f>"李永豪"</f>
        <v>李永豪</v>
      </c>
    </row>
    <row r="124" ht="72" spans="1:10">
      <c r="A124" s="3">
        <v>122</v>
      </c>
      <c r="B124" s="3" t="str">
        <f>"2240202Z1008"</f>
        <v>2240202Z1008</v>
      </c>
      <c r="C124" s="3" t="str">
        <f>"李薇"</f>
        <v>李薇</v>
      </c>
      <c r="D124" s="3" t="str">
        <f>"女"</f>
        <v>女</v>
      </c>
      <c r="E124" s="3" t="str">
        <f>"数理金融学"</f>
        <v>数理金融学</v>
      </c>
      <c r="F124" s="3" t="str">
        <f>"高等数学Ⅱ"</f>
        <v>高等数学Ⅱ</v>
      </c>
      <c r="G124" s="3" t="str">
        <f>"通识基础课"</f>
        <v>通识基础课</v>
      </c>
      <c r="H124" s="3" t="str">
        <f>"周一第5，6节{第1-17周}，周一第7节{第1-17周}，周三第8，9节{第1-17周}"</f>
        <v>周一第5，6节{第1-17周}，周一第7节{第1-17周}，周三第8，9节{第1-17周}</v>
      </c>
      <c r="I124" s="3" t="str">
        <f>"数学学院"</f>
        <v>数学学院</v>
      </c>
      <c r="J124" s="3" t="str">
        <f>"张玉越"</f>
        <v>张玉越</v>
      </c>
    </row>
    <row r="125" ht="96" spans="1:10">
      <c r="A125" s="3">
        <v>123</v>
      </c>
      <c r="B125" s="3" t="str">
        <f>"1210202Z1008"</f>
        <v>1210202Z1008</v>
      </c>
      <c r="C125" s="3" t="str">
        <f>"胡先全"</f>
        <v>胡先全</v>
      </c>
      <c r="D125" s="3" t="str">
        <f>"男"</f>
        <v>男</v>
      </c>
      <c r="E125" s="3" t="str">
        <f>"数理金融学"</f>
        <v>数理金融学</v>
      </c>
      <c r="F125" s="3" t="str">
        <f>"数学分析II（英文）"</f>
        <v>数学分析II（英文）</v>
      </c>
      <c r="G125" s="3" t="str">
        <f>"通识基础课"</f>
        <v>通识基础课</v>
      </c>
      <c r="H125" s="3" t="str">
        <f>"周三第1，2节{第1-17周}，周三第3节{第1-17周}，周五第1，2节{第1-17周}，周五第3节{第1-17周}"</f>
        <v>周三第1，2节{第1-17周}，周三第3节{第1-17周}，周五第1，2节{第1-17周}，周五第3节{第1-17周}</v>
      </c>
      <c r="I125" s="3" t="s">
        <v>11</v>
      </c>
      <c r="J125" s="3" t="str">
        <f>"郭训香"</f>
        <v>郭训香</v>
      </c>
    </row>
    <row r="126" ht="48" spans="1:10">
      <c r="A126" s="3">
        <v>124</v>
      </c>
      <c r="B126" s="3" t="str">
        <f>"1221202Z7001"</f>
        <v>1221202Z7001</v>
      </c>
      <c r="C126" s="3" t="str">
        <f>"马睛"</f>
        <v>马睛</v>
      </c>
      <c r="D126" s="3" t="str">
        <f>"女"</f>
        <v>女</v>
      </c>
      <c r="E126" s="3" t="str">
        <f>"审计学"</f>
        <v>审计学</v>
      </c>
      <c r="F126" s="3" t="str">
        <f>"会计学"</f>
        <v>会计学</v>
      </c>
      <c r="G126" s="3" t="str">
        <f>"学科基础课"</f>
        <v>学科基础课</v>
      </c>
      <c r="H126" s="3" t="str">
        <f>"周四第5，6节{第1-17周}，周四第7节{第1-17周}"</f>
        <v>周四第5，6节{第1-17周}，周四第7节{第1-17周}</v>
      </c>
      <c r="I126" s="3" t="str">
        <f>"会计学院"</f>
        <v>会计学院</v>
      </c>
      <c r="J126" s="3" t="str">
        <f>"李朝霞"</f>
        <v>李朝霞</v>
      </c>
    </row>
    <row r="127" ht="36" spans="1:10">
      <c r="A127" s="3">
        <v>125</v>
      </c>
      <c r="B127" s="3" t="str">
        <f>"224070100001"</f>
        <v>224070100001</v>
      </c>
      <c r="C127" s="3" t="str">
        <f>"顾继炜"</f>
        <v>顾继炜</v>
      </c>
      <c r="D127" s="3" t="str">
        <f>"男"</f>
        <v>男</v>
      </c>
      <c r="E127" s="3" t="str">
        <f>"数学"</f>
        <v>数学</v>
      </c>
      <c r="F127" s="3" t="str">
        <f>"实变函数论"</f>
        <v>实变函数论</v>
      </c>
      <c r="G127" s="3" t="str">
        <f>"自由选修课"</f>
        <v>自由选修课</v>
      </c>
      <c r="H127" s="3" t="str">
        <f>"周一第10，11，12节{第1-17周}"</f>
        <v>周一第10，11，12节{第1-17周}</v>
      </c>
      <c r="I127" s="3" t="s">
        <v>11</v>
      </c>
      <c r="J127" s="3" t="str">
        <f>"祝书强"</f>
        <v>祝书强</v>
      </c>
    </row>
    <row r="128" ht="36" spans="1:10">
      <c r="A128" s="3">
        <v>126</v>
      </c>
      <c r="B128" s="3" t="str">
        <f>"122071400005"</f>
        <v>122071400005</v>
      </c>
      <c r="C128" s="3" t="str">
        <f>"朱一凡"</f>
        <v>朱一凡</v>
      </c>
      <c r="D128" s="3" t="str">
        <f>"男"</f>
        <v>男</v>
      </c>
      <c r="E128" s="3" t="str">
        <f>"统计学"</f>
        <v>统计学</v>
      </c>
      <c r="F128" s="3" t="str">
        <f>"数理统计(双语）"</f>
        <v>数理统计(双语）</v>
      </c>
      <c r="G128" s="3" t="str">
        <f>"大学科基础课"</f>
        <v>大学科基础课</v>
      </c>
      <c r="H128" s="3" t="str">
        <f>"周二第10，11，12节{第1-17周}"</f>
        <v>周二第10，11，12节{第1-17周}</v>
      </c>
      <c r="I128" s="3" t="str">
        <f>"统计学院"</f>
        <v>统计学院</v>
      </c>
      <c r="J128" s="3" t="str">
        <f>"凌星"</f>
        <v>凌星</v>
      </c>
    </row>
    <row r="129" ht="24" spans="1:10">
      <c r="A129" s="3">
        <v>127</v>
      </c>
      <c r="B129" s="3" t="str">
        <f>"224081200002"</f>
        <v>224081200002</v>
      </c>
      <c r="C129" s="3" t="str">
        <f>"周家宝"</f>
        <v>周家宝</v>
      </c>
      <c r="D129" s="3" t="str">
        <f>"男"</f>
        <v>男</v>
      </c>
      <c r="E129" s="3" t="str">
        <f>"计算机科学与技术"</f>
        <v>计算机科学与技术</v>
      </c>
      <c r="F129" s="3" t="str">
        <f>"人工智能与现代科技"</f>
        <v>人工智能与现代科技</v>
      </c>
      <c r="G129" s="3" t="str">
        <f>"通识基础课"</f>
        <v>通识基础课</v>
      </c>
      <c r="H129" s="3" t="str">
        <f>"周五第8，9节{第1-17周}"</f>
        <v>周五第8，9节{第1-17周}</v>
      </c>
      <c r="I129" s="3" t="str">
        <f>"计算机与人工智能学院"</f>
        <v>计算机与人工智能学院</v>
      </c>
      <c r="J129" s="3" t="str">
        <f>"潘宁宁"</f>
        <v>潘宁宁</v>
      </c>
    </row>
    <row r="130" ht="24" spans="1:10">
      <c r="A130" s="3">
        <v>128</v>
      </c>
      <c r="B130" s="3" t="str">
        <f>"123120100006"</f>
        <v>123120100006</v>
      </c>
      <c r="C130" s="3" t="str">
        <f>"张露月"</f>
        <v>张露月</v>
      </c>
      <c r="D130" s="3" t="str">
        <f>"女"</f>
        <v>女</v>
      </c>
      <c r="E130" s="3" t="str">
        <f>"管理科学与工程"</f>
        <v>管理科学与工程</v>
      </c>
      <c r="F130" s="3" t="str">
        <f>"互联网金融MOOC"</f>
        <v>互联网金融MOOC</v>
      </c>
      <c r="G130" s="3" t="str">
        <f>"慕课"</f>
        <v>慕课</v>
      </c>
      <c r="H130" s="3" t="str">
        <f>"2025年3-6月"</f>
        <v>2025年3-6月</v>
      </c>
      <c r="I130" s="3" t="str">
        <f>"管理科学与工程学院"</f>
        <v>管理科学与工程学院</v>
      </c>
      <c r="J130" s="3" t="str">
        <f>"帅青红"</f>
        <v>帅青红</v>
      </c>
    </row>
    <row r="131" ht="72" spans="1:10">
      <c r="A131" s="3">
        <v>129</v>
      </c>
      <c r="B131" s="3" t="str">
        <f>"223070100021"</f>
        <v>223070100021</v>
      </c>
      <c r="C131" s="3" t="str">
        <f>"刘伟"</f>
        <v>刘伟</v>
      </c>
      <c r="D131" s="3" t="str">
        <f>"男"</f>
        <v>男</v>
      </c>
      <c r="E131" s="3" t="str">
        <f>"数学"</f>
        <v>数学</v>
      </c>
      <c r="F131" s="3" t="str">
        <f>"高等数学Ⅱ"</f>
        <v>高等数学Ⅱ</v>
      </c>
      <c r="G131" s="3" t="str">
        <f>"通识基础课"</f>
        <v>通识基础课</v>
      </c>
      <c r="H131" s="3" t="str">
        <f>"周一第5，6节{第1-17周}，周三第1，2节{第1-17周}，周三第3节{第1-17周}"</f>
        <v>周一第5，6节{第1-17周}，周三第1，2节{第1-17周}，周三第3节{第1-17周}</v>
      </c>
      <c r="I131" s="3" t="s">
        <v>11</v>
      </c>
      <c r="J131" s="3" t="str">
        <f>"王磊"</f>
        <v>王磊</v>
      </c>
    </row>
    <row r="132" ht="36" spans="1:10">
      <c r="A132" s="3">
        <v>130</v>
      </c>
      <c r="B132" s="3" t="str">
        <f>"124071400004"</f>
        <v>124071400004</v>
      </c>
      <c r="C132" s="3" t="str">
        <f>"向鹏程"</f>
        <v>向鹏程</v>
      </c>
      <c r="D132" s="3" t="str">
        <f>"男"</f>
        <v>男</v>
      </c>
      <c r="E132" s="3" t="str">
        <f>"统计学"</f>
        <v>统计学</v>
      </c>
      <c r="F132" s="3" t="str">
        <f>"大数据可视化"</f>
        <v>大数据可视化</v>
      </c>
      <c r="G132" s="3" t="str">
        <f>"专业方向课"</f>
        <v>专业方向课</v>
      </c>
      <c r="H132" s="3" t="str">
        <f>"周二第10，11，12节{第1-17周}"</f>
        <v>周二第10，11，12节{第1-17周}</v>
      </c>
      <c r="I132" s="3" t="str">
        <f>"统计学院"</f>
        <v>统计学院</v>
      </c>
      <c r="J132" s="3" t="str">
        <f>"李蔓"</f>
        <v>李蔓</v>
      </c>
    </row>
    <row r="133" spans="1:10">
      <c r="A133" s="3">
        <v>131</v>
      </c>
      <c r="B133" s="3" t="str">
        <f>"124020208001"</f>
        <v>124020208001</v>
      </c>
      <c r="C133" s="3" t="str">
        <f>"宁人洁"</f>
        <v>宁人洁</v>
      </c>
      <c r="D133" s="3" t="str">
        <f>"女"</f>
        <v>女</v>
      </c>
      <c r="E133" s="3" t="str">
        <f>"统计学"</f>
        <v>统计学</v>
      </c>
      <c r="F133" s="3" t="str">
        <f>"统计学MOOC"</f>
        <v>统计学MOOC</v>
      </c>
      <c r="G133" s="3" t="str">
        <f>"慕课"</f>
        <v>慕课</v>
      </c>
      <c r="H133" s="3" t="str">
        <f>"2025年3-6月"</f>
        <v>2025年3-6月</v>
      </c>
      <c r="I133" s="3" t="str">
        <f>"统计学院"</f>
        <v>统计学院</v>
      </c>
      <c r="J133" s="3" t="str">
        <f>"夏怡凡"</f>
        <v>夏怡凡</v>
      </c>
    </row>
    <row r="134" ht="48" spans="1:10">
      <c r="A134" s="3">
        <v>132</v>
      </c>
      <c r="B134" s="3" t="str">
        <f>"1210202Z1004"</f>
        <v>1210202Z1004</v>
      </c>
      <c r="C134" s="3" t="str">
        <f>"李露"</f>
        <v>李露</v>
      </c>
      <c r="D134" s="3" t="str">
        <f>"女"</f>
        <v>女</v>
      </c>
      <c r="E134" s="3" t="str">
        <f>"数理金融学"</f>
        <v>数理金融学</v>
      </c>
      <c r="F134" s="3" t="str">
        <f>"数学分析Ⅰ（理科）（重修）"</f>
        <v>数学分析Ⅰ（理科）（重修）</v>
      </c>
      <c r="G134" s="3" t="str">
        <f>"通识基础课"</f>
        <v>通识基础课</v>
      </c>
      <c r="H134" s="3" t="str">
        <f>"周三第5，6节{第6-16周}，周三第7节{第6-16周}"</f>
        <v>周三第5，6节{第6-16周}，周三第7节{第6-16周}</v>
      </c>
      <c r="I134" s="3" t="s">
        <v>11</v>
      </c>
      <c r="J134" s="3" t="str">
        <f>"方敏"</f>
        <v>方敏</v>
      </c>
    </row>
    <row r="135" ht="48" spans="1:10">
      <c r="A135" s="3">
        <v>133</v>
      </c>
      <c r="B135" s="3" t="str">
        <f>"121020104016"</f>
        <v>121020104016</v>
      </c>
      <c r="C135" s="3" t="str">
        <f>"张婷"</f>
        <v>张婷</v>
      </c>
      <c r="D135" s="3" t="str">
        <f>"女"</f>
        <v>女</v>
      </c>
      <c r="E135" s="3" t="str">
        <f>"西方经济学"</f>
        <v>西方经济学</v>
      </c>
      <c r="F135" s="3" t="str">
        <f>"宏观经济学（英）"</f>
        <v>宏观经济学（英）</v>
      </c>
      <c r="G135" s="3" t="str">
        <f>"学科基础课"</f>
        <v>学科基础课</v>
      </c>
      <c r="H135" s="3" t="str">
        <f>"周五第1，2节{第1-17周}，周五第3节{第1-17周}"</f>
        <v>周五第1，2节{第1-17周}，周五第3节{第1-17周}</v>
      </c>
      <c r="I135" s="3" t="str">
        <f>"经济与管理研究院"</f>
        <v>经济与管理研究院</v>
      </c>
      <c r="J135" s="3" t="str">
        <f>"栾梦娜"</f>
        <v>栾梦娜</v>
      </c>
    </row>
    <row r="136" ht="36" spans="1:10">
      <c r="A136" s="3">
        <v>134</v>
      </c>
      <c r="B136" s="3" t="str">
        <f>"224071400032"</f>
        <v>224071400032</v>
      </c>
      <c r="C136" s="3" t="str">
        <f>"胡睿希"</f>
        <v>胡睿希</v>
      </c>
      <c r="D136" s="3" t="str">
        <f>"男"</f>
        <v>男</v>
      </c>
      <c r="E136" s="3" t="str">
        <f>"统计学"</f>
        <v>统计学</v>
      </c>
      <c r="F136" s="3" t="str">
        <f>"程序设计与科学计算"</f>
        <v>程序设计与科学计算</v>
      </c>
      <c r="G136" s="3" t="str">
        <f>"学科基础课"</f>
        <v>学科基础课</v>
      </c>
      <c r="H136" s="3" t="str">
        <f>"周三第10，11，12节{第1-17周}"</f>
        <v>周三第10，11，12节{第1-17周}</v>
      </c>
      <c r="I136" s="3" t="str">
        <f>"统计学院"</f>
        <v>统计学院</v>
      </c>
      <c r="J136" s="3" t="str">
        <f>"戴明伟"</f>
        <v>戴明伟</v>
      </c>
    </row>
    <row r="137" ht="48" spans="1:10">
      <c r="A137" s="3">
        <v>135</v>
      </c>
      <c r="B137" s="3" t="str">
        <f>"1240202Z2003"</f>
        <v>1240202Z2003</v>
      </c>
      <c r="C137" s="3" t="str">
        <f>"裴珊"</f>
        <v>裴珊</v>
      </c>
      <c r="D137" s="3" t="str">
        <f t="shared" ref="D137:D143" si="1">"女"</f>
        <v>女</v>
      </c>
      <c r="E137" s="3" t="str">
        <f>"金融工程"</f>
        <v>金融工程</v>
      </c>
      <c r="F137" s="3" t="str">
        <f>"高等代数Ⅱ"</f>
        <v>高等代数Ⅱ</v>
      </c>
      <c r="G137" s="3" t="str">
        <f>"通识基础课"</f>
        <v>通识基础课</v>
      </c>
      <c r="H137" s="3" t="str">
        <f>"周一第1，2节{第1-17周}，周一第3节{第1-17周}"</f>
        <v>周一第1，2节{第1-17周}，周一第3节{第1-17周}</v>
      </c>
      <c r="I137" s="3" t="s">
        <v>11</v>
      </c>
      <c r="J137" s="3" t="str">
        <f>"林可"</f>
        <v>林可</v>
      </c>
    </row>
    <row r="138" ht="48" spans="1:10">
      <c r="A138" s="3">
        <v>136</v>
      </c>
      <c r="B138" s="3" t="str">
        <f>"2230202Z1005"</f>
        <v>2230202Z1005</v>
      </c>
      <c r="C138" s="3" t="str">
        <f>"刘艳丽"</f>
        <v>刘艳丽</v>
      </c>
      <c r="D138" s="3" t="str">
        <f t="shared" si="1"/>
        <v>女</v>
      </c>
      <c r="E138" s="3" t="str">
        <f>"数理金融学"</f>
        <v>数理金融学</v>
      </c>
      <c r="F138" s="3" t="str">
        <f>"线性代数"</f>
        <v>线性代数</v>
      </c>
      <c r="G138" s="3" t="str">
        <f>"通识基础课"</f>
        <v>通识基础课</v>
      </c>
      <c r="H138" s="3" t="str">
        <f>"周四第1，2节{第1-17周}，周四第3节{第1-17周}"</f>
        <v>周四第1，2节{第1-17周}，周四第3节{第1-17周}</v>
      </c>
      <c r="I138" s="3" t="str">
        <f>"数学学院"</f>
        <v>数学学院</v>
      </c>
      <c r="J138" s="3" t="str">
        <f>"韩本三"</f>
        <v>韩本三</v>
      </c>
    </row>
    <row r="139" ht="48" spans="1:10">
      <c r="A139" s="3">
        <v>137</v>
      </c>
      <c r="B139" s="3" t="str">
        <f>"223020104025"</f>
        <v>223020104025</v>
      </c>
      <c r="C139" s="3" t="str">
        <f>"苗樂薪"</f>
        <v>苗樂薪</v>
      </c>
      <c r="D139" s="3" t="str">
        <f t="shared" si="1"/>
        <v>女</v>
      </c>
      <c r="E139" s="3" t="str">
        <f>"西方经济学"</f>
        <v>西方经济学</v>
      </c>
      <c r="F139" s="3" t="str">
        <f>"宏观经济学"</f>
        <v>宏观经济学</v>
      </c>
      <c r="G139" s="3" t="str">
        <f>"学科基础课"</f>
        <v>学科基础课</v>
      </c>
      <c r="H139" s="3" t="str">
        <f>"周五第1，2节{第1-17周}，周五第3节{第1-17周}"</f>
        <v>周五第1，2节{第1-17周}，周五第3节{第1-17周}</v>
      </c>
      <c r="I139" s="3" t="str">
        <f>"经济学院"</f>
        <v>经济学院</v>
      </c>
      <c r="J139" s="3" t="str">
        <f>"杨海涛"</f>
        <v>杨海涛</v>
      </c>
    </row>
    <row r="140" ht="72" spans="1:10">
      <c r="A140" s="3">
        <v>138</v>
      </c>
      <c r="B140" s="3" t="str">
        <f>"2240202Z1022"</f>
        <v>2240202Z1022</v>
      </c>
      <c r="C140" s="3" t="str">
        <f>"吴文凤"</f>
        <v>吴文凤</v>
      </c>
      <c r="D140" s="3" t="str">
        <f t="shared" si="1"/>
        <v>女</v>
      </c>
      <c r="E140" s="3" t="str">
        <f>"数理金融学"</f>
        <v>数理金融学</v>
      </c>
      <c r="F140" s="3" t="str">
        <f>"高等数学Ⅱ"</f>
        <v>高等数学Ⅱ</v>
      </c>
      <c r="G140" s="3" t="str">
        <f>"通识基础课"</f>
        <v>通识基础课</v>
      </c>
      <c r="H140" s="3" t="str">
        <f>"周二第3，4节{第1-17周}，周四第1，2节{第1-17周}，周四第3节{第1-17周}"</f>
        <v>周二第3，4节{第1-17周}，周四第1，2节{第1-17周}，周四第3节{第1-17周}</v>
      </c>
      <c r="I140" s="3" t="s">
        <v>11</v>
      </c>
      <c r="J140" s="3" t="str">
        <f>"李楠"</f>
        <v>李楠</v>
      </c>
    </row>
    <row r="141" ht="48" spans="1:10">
      <c r="A141" s="3">
        <v>139</v>
      </c>
      <c r="B141" s="3" t="str">
        <f>"123020104001"</f>
        <v>123020104001</v>
      </c>
      <c r="C141" s="3" t="str">
        <f>"王林林"</f>
        <v>王林林</v>
      </c>
      <c r="D141" s="3" t="str">
        <f t="shared" si="1"/>
        <v>女</v>
      </c>
      <c r="E141" s="3" t="str">
        <f>"西方经济学"</f>
        <v>西方经济学</v>
      </c>
      <c r="F141" s="3" t="str">
        <f>"微观经济学"</f>
        <v>微观经济学</v>
      </c>
      <c r="G141" s="3" t="str">
        <f>"学科基础课"</f>
        <v>学科基础课</v>
      </c>
      <c r="H141" s="3" t="str">
        <f>"周一第7节{第1-17周}，周一第8，9节{第1-17周}"</f>
        <v>周一第7节{第1-17周}，周一第8，9节{第1-17周}</v>
      </c>
      <c r="I141" s="3" t="str">
        <f>"经济学院"</f>
        <v>经济学院</v>
      </c>
      <c r="J141" s="3" t="str">
        <f>"甘雨"</f>
        <v>甘雨</v>
      </c>
    </row>
    <row r="142" spans="1:10">
      <c r="A142" s="3">
        <v>140</v>
      </c>
      <c r="B142" s="3" t="str">
        <f>"123020203003"</f>
        <v>123020203003</v>
      </c>
      <c r="C142" s="3" t="str">
        <f>"陈凤锦"</f>
        <v>陈凤锦</v>
      </c>
      <c r="D142" s="3" t="str">
        <f t="shared" si="1"/>
        <v>女</v>
      </c>
      <c r="E142" s="3" t="str">
        <f>"财政学"</f>
        <v>财政学</v>
      </c>
      <c r="F142" s="3" t="str">
        <f>"财政学MOOC"</f>
        <v>财政学MOOC</v>
      </c>
      <c r="G142" s="3" t="str">
        <f>"慕课"</f>
        <v>慕课</v>
      </c>
      <c r="H142" s="3" t="str">
        <f>"2025年3-6月"</f>
        <v>2025年3-6月</v>
      </c>
      <c r="I142" s="3" t="str">
        <f>"财政税务学院"</f>
        <v>财政税务学院</v>
      </c>
      <c r="J142" s="3" t="str">
        <f>"周克清"</f>
        <v>周克清</v>
      </c>
    </row>
    <row r="143" ht="48" spans="1:10">
      <c r="A143" s="3">
        <v>141</v>
      </c>
      <c r="B143" s="3" t="str">
        <f>"123020203006"</f>
        <v>123020203006</v>
      </c>
      <c r="C143" s="3" t="str">
        <f>"张淑静"</f>
        <v>张淑静</v>
      </c>
      <c r="D143" s="3" t="str">
        <f t="shared" si="1"/>
        <v>女</v>
      </c>
      <c r="E143" s="3" t="str">
        <f>"财政学"</f>
        <v>财政学</v>
      </c>
      <c r="F143" s="3" t="str">
        <f>"数据库原理与应用"</f>
        <v>数据库原理与应用</v>
      </c>
      <c r="G143" s="3" t="str">
        <f>"专业必修课"</f>
        <v>专业必修课</v>
      </c>
      <c r="H143" s="3" t="str">
        <f>"周四第1，2节{第1-17周}，周四第3节{第1-17周}"</f>
        <v>周四第1，2节{第1-17周}，周四第3节{第1-17周}</v>
      </c>
      <c r="I143" s="3" t="str">
        <f>"管理科学与工程学院"</f>
        <v>管理科学与工程学院</v>
      </c>
      <c r="J143" s="3" t="str">
        <f>"马丹"</f>
        <v>马丹</v>
      </c>
    </row>
    <row r="144" ht="24" spans="1:10">
      <c r="A144" s="3">
        <v>142</v>
      </c>
      <c r="B144" s="3" t="str">
        <f>"224081200004"</f>
        <v>224081200004</v>
      </c>
      <c r="C144" s="3" t="str">
        <f>"郭源欣"</f>
        <v>郭源欣</v>
      </c>
      <c r="D144" s="3" t="str">
        <f>"男"</f>
        <v>男</v>
      </c>
      <c r="E144" s="3" t="str">
        <f>"计算机科学与技术"</f>
        <v>计算机科学与技术</v>
      </c>
      <c r="F144" s="3" t="str">
        <f>"人工智能与现代科技"</f>
        <v>人工智能与现代科技</v>
      </c>
      <c r="G144" s="3" t="str">
        <f>"通识基础课"</f>
        <v>通识基础课</v>
      </c>
      <c r="H144" s="3" t="str">
        <f>"周五第8，9节{第1-17周}"</f>
        <v>周五第8，9节{第1-17周}</v>
      </c>
      <c r="I144" s="3" t="str">
        <f>"计算机与人工智能学院"</f>
        <v>计算机与人工智能学院</v>
      </c>
      <c r="J144" s="3" t="str">
        <f>"潘宁宁"</f>
        <v>潘宁宁</v>
      </c>
    </row>
    <row r="145" ht="48" spans="1:10">
      <c r="A145" s="3">
        <v>143</v>
      </c>
      <c r="B145" s="3" t="str">
        <f>"222070100005"</f>
        <v>222070100005</v>
      </c>
      <c r="C145" s="3" t="str">
        <f>"施博文"</f>
        <v>施博文</v>
      </c>
      <c r="D145" s="3" t="str">
        <f>"男"</f>
        <v>男</v>
      </c>
      <c r="E145" s="3" t="str">
        <f>"数学"</f>
        <v>数学</v>
      </c>
      <c r="F145" s="3" t="str">
        <f>"线性代数"</f>
        <v>线性代数</v>
      </c>
      <c r="G145" s="3" t="str">
        <f>"通识基础课"</f>
        <v>通识基础课</v>
      </c>
      <c r="H145" s="3" t="str">
        <f>"周一第1，2节{第1-17周}，周一第3节{第1-17周}"</f>
        <v>周一第1，2节{第1-17周}，周一第3节{第1-17周}</v>
      </c>
      <c r="I145" s="3" t="s">
        <v>11</v>
      </c>
      <c r="J145" s="3" t="str">
        <f>"张昕"</f>
        <v>张昕</v>
      </c>
    </row>
    <row r="146" ht="24" spans="1:10">
      <c r="A146" s="3">
        <v>144</v>
      </c>
      <c r="B146" s="3" t="str">
        <f>"223081200060"</f>
        <v>223081200060</v>
      </c>
      <c r="C146" s="3" t="str">
        <f>"王景凯"</f>
        <v>王景凯</v>
      </c>
      <c r="D146" s="3" t="str">
        <f>"男"</f>
        <v>男</v>
      </c>
      <c r="E146" s="3" t="str">
        <f>"计算机科学与技术"</f>
        <v>计算机科学与技术</v>
      </c>
      <c r="F146" s="3" t="str">
        <f>"人工智能与现代科技"</f>
        <v>人工智能与现代科技</v>
      </c>
      <c r="G146" s="3" t="str">
        <f>"通识基础课"</f>
        <v>通识基础课</v>
      </c>
      <c r="H146" s="3" t="str">
        <f>"周三第8，9节{第1-17周}"</f>
        <v>周三第8，9节{第1-17周}</v>
      </c>
      <c r="I146" s="3" t="str">
        <f>"计算机与人工智能学院"</f>
        <v>计算机与人工智能学院</v>
      </c>
      <c r="J146" s="3" t="str">
        <f>"汤自新"</f>
        <v>汤自新</v>
      </c>
    </row>
    <row r="147" ht="36" spans="1:10">
      <c r="A147" s="3">
        <v>145</v>
      </c>
      <c r="B147" s="3" t="str">
        <f>"223020104026"</f>
        <v>223020104026</v>
      </c>
      <c r="C147" s="3" t="str">
        <f>"段金霞"</f>
        <v>段金霞</v>
      </c>
      <c r="D147" s="3" t="str">
        <f>"女"</f>
        <v>女</v>
      </c>
      <c r="E147" s="3" t="str">
        <f>"西方经济学"</f>
        <v>西方经济学</v>
      </c>
      <c r="F147" s="3" t="str">
        <f>"微观经济学"</f>
        <v>微观经济学</v>
      </c>
      <c r="G147" s="3" t="str">
        <f>"学科基础课"</f>
        <v>学科基础课</v>
      </c>
      <c r="H147" s="3" t="str">
        <f>"周二第10，11，12节{第1-17周}"</f>
        <v>周二第10，11，12节{第1-17周}</v>
      </c>
      <c r="I147" s="3" t="str">
        <f>"经济学院"</f>
        <v>经济学院</v>
      </c>
      <c r="J147" s="3" t="str">
        <f>"杨璐"</f>
        <v>杨璐</v>
      </c>
    </row>
    <row r="148" ht="36" spans="1:10">
      <c r="A148" s="3">
        <v>146</v>
      </c>
      <c r="B148" s="3" t="str">
        <f>"1240202Z2005"</f>
        <v>1240202Z2005</v>
      </c>
      <c r="C148" s="3" t="str">
        <f>"曾丽丹"</f>
        <v>曾丽丹</v>
      </c>
      <c r="D148" s="3" t="str">
        <f>"女"</f>
        <v>女</v>
      </c>
      <c r="E148" s="3" t="str">
        <f>"金融工程"</f>
        <v>金融工程</v>
      </c>
      <c r="F148" s="3" t="str">
        <f>"货币金融学"</f>
        <v>货币金融学</v>
      </c>
      <c r="G148" s="3" t="str">
        <f>"大学科基础课"</f>
        <v>大学科基础课</v>
      </c>
      <c r="H148" s="3" t="str">
        <f>"周一第10，11，12节{第1-17周}"</f>
        <v>周一第10，11，12节{第1-17周}</v>
      </c>
      <c r="I148" s="3" t="str">
        <f>"金融学院"</f>
        <v>金融学院</v>
      </c>
      <c r="J148" s="3" t="str">
        <f>"戴艳萍"</f>
        <v>戴艳萍</v>
      </c>
    </row>
    <row r="149" ht="36" spans="1:10">
      <c r="A149" s="3">
        <v>147</v>
      </c>
      <c r="B149" s="3" t="str">
        <f>"222020106003"</f>
        <v>222020106003</v>
      </c>
      <c r="C149" s="3" t="str">
        <f>"李海天"</f>
        <v>李海天</v>
      </c>
      <c r="D149" s="3" t="str">
        <f>"女"</f>
        <v>女</v>
      </c>
      <c r="E149" s="3" t="str">
        <f>"人口、资源与环境经济学"</f>
        <v>人口、资源与环境经济学</v>
      </c>
      <c r="F149" s="3" t="str">
        <f>"走向商涯：商科学生职业生涯规划与指导MOOC"</f>
        <v>走向商涯：商科学生职业生涯规划与指导MOOC</v>
      </c>
      <c r="G149" s="3" t="str">
        <f>"慕课"</f>
        <v>慕课</v>
      </c>
      <c r="H149" s="3" t="str">
        <f>"2025年3-6月"</f>
        <v>2025年3-6月</v>
      </c>
      <c r="I149" s="3" t="str">
        <f>"学生职业规划与就业指导中心"</f>
        <v>学生职业规划与就业指导中心</v>
      </c>
      <c r="J149" s="3" t="str">
        <f>"邹涛"</f>
        <v>邹涛</v>
      </c>
    </row>
    <row r="150" ht="48" spans="1:10">
      <c r="A150" s="3">
        <v>148</v>
      </c>
      <c r="B150" s="3" t="str">
        <f>"224070100007"</f>
        <v>224070100007</v>
      </c>
      <c r="C150" s="3" t="str">
        <f>"李安"</f>
        <v>李安</v>
      </c>
      <c r="D150" s="3" t="str">
        <f>"男"</f>
        <v>男</v>
      </c>
      <c r="E150" s="3" t="str">
        <f>"数学"</f>
        <v>数学</v>
      </c>
      <c r="F150" s="3" t="str">
        <f>"高等代数Ⅱ（理科）"</f>
        <v>高等代数Ⅱ（理科）</v>
      </c>
      <c r="G150" s="3" t="str">
        <f>"通识基础课"</f>
        <v>通识基础课</v>
      </c>
      <c r="H150" s="3" t="str">
        <f>"周二第1，2节{第1-17周}，周三第3，4节{第1-17周}"</f>
        <v>周二第1，2节{第1-17周}，周三第3，4节{第1-17周}</v>
      </c>
      <c r="I150" s="3" t="s">
        <v>11</v>
      </c>
      <c r="J150" s="3" t="str">
        <f>"赵建容"</f>
        <v>赵建容</v>
      </c>
    </row>
    <row r="151" ht="48" spans="1:10">
      <c r="A151" s="3">
        <v>149</v>
      </c>
      <c r="B151" s="3" t="str">
        <f>"222120100019"</f>
        <v>222120100019</v>
      </c>
      <c r="C151" s="3" t="str">
        <f>"张涛"</f>
        <v>张涛</v>
      </c>
      <c r="D151" s="3" t="str">
        <f>"男"</f>
        <v>男</v>
      </c>
      <c r="E151" s="3" t="str">
        <f>"管理科学与工程"</f>
        <v>管理科学与工程</v>
      </c>
      <c r="F151" s="3" t="str">
        <f>"概率论（理科）"</f>
        <v>概率论（理科）</v>
      </c>
      <c r="G151" s="3" t="str">
        <f>"通识基础课"</f>
        <v>通识基础课</v>
      </c>
      <c r="H151" s="3" t="str">
        <f>"周二第1，2节{第1-17周}，周四第1，2节{第1-17周}"</f>
        <v>周二第1，2节{第1-17周}，周四第1，2节{第1-17周}</v>
      </c>
      <c r="I151" s="3" t="s">
        <v>11</v>
      </c>
      <c r="J151" s="3" t="str">
        <f>"杨扬"</f>
        <v>杨扬</v>
      </c>
    </row>
    <row r="152" ht="48" spans="1:10">
      <c r="A152" s="3">
        <v>150</v>
      </c>
      <c r="B152" s="3" t="str">
        <f>"123020205001"</f>
        <v>123020205001</v>
      </c>
      <c r="C152" s="3" t="str">
        <f>"徐轲凡"</f>
        <v>徐轲凡</v>
      </c>
      <c r="D152" s="3" t="str">
        <f>"男"</f>
        <v>男</v>
      </c>
      <c r="E152" s="3" t="str">
        <f>"产业经济学"</f>
        <v>产业经济学</v>
      </c>
      <c r="F152" s="3" t="str">
        <f>"微观经济学"</f>
        <v>微观经济学</v>
      </c>
      <c r="G152" s="3" t="str">
        <f>"通识基础课"</f>
        <v>通识基础课</v>
      </c>
      <c r="H152" s="3" t="str">
        <f>"周一第1，2节{第1-17周}，周一第3节{第1-17周}"</f>
        <v>周一第1，2节{第1-17周}，周一第3节{第1-17周}</v>
      </c>
      <c r="I152" s="3" t="str">
        <f>"工商管理学院"</f>
        <v>工商管理学院</v>
      </c>
      <c r="J152" s="3" t="str">
        <f>"袁鹏"</f>
        <v>袁鹏</v>
      </c>
    </row>
    <row r="153" spans="1:10">
      <c r="A153" s="3">
        <v>151</v>
      </c>
      <c r="B153" s="3" t="str">
        <f>"1230202Z6001"</f>
        <v>1230202Z6001</v>
      </c>
      <c r="C153" s="3" t="str">
        <f>"高原"</f>
        <v>高原</v>
      </c>
      <c r="D153" s="3" t="str">
        <f>"男"</f>
        <v>男</v>
      </c>
      <c r="E153" s="3" t="str">
        <f>"税收学"</f>
        <v>税收学</v>
      </c>
      <c r="F153" s="3" t="str">
        <f>"国际税收MOOC"</f>
        <v>国际税收MOOC</v>
      </c>
      <c r="G153" s="3" t="str">
        <f>"慕课"</f>
        <v>慕课</v>
      </c>
      <c r="H153" s="3" t="str">
        <f>"2025年3-6月"</f>
        <v>2025年3-6月</v>
      </c>
      <c r="I153" s="3" t="str">
        <f>"财政税务学院"</f>
        <v>财政税务学院</v>
      </c>
      <c r="J153" s="3" t="str">
        <f>"张伦伦"</f>
        <v>张伦伦</v>
      </c>
    </row>
    <row r="154" ht="48" spans="1:10">
      <c r="A154" s="3">
        <v>152</v>
      </c>
      <c r="B154" s="3" t="str">
        <f>"124020104012"</f>
        <v>124020104012</v>
      </c>
      <c r="C154" s="3" t="str">
        <f>"冉珈瑄"</f>
        <v>冉珈瑄</v>
      </c>
      <c r="D154" s="3" t="str">
        <f>"女"</f>
        <v>女</v>
      </c>
      <c r="E154" s="3" t="str">
        <f>"西方经济学"</f>
        <v>西方经济学</v>
      </c>
      <c r="F154" s="3" t="str">
        <f>"微观经济学"</f>
        <v>微观经济学</v>
      </c>
      <c r="G154" s="3" t="str">
        <f>"通识基础课"</f>
        <v>通识基础课</v>
      </c>
      <c r="H154" s="3" t="str">
        <f>"周一第5，6节{第1-17周}，周一第7节{第1-17周}"</f>
        <v>周一第5，6节{第1-17周}，周一第7节{第1-17周}</v>
      </c>
      <c r="I154" s="3" t="str">
        <f>"工商管理学院"</f>
        <v>工商管理学院</v>
      </c>
      <c r="J154" s="3" t="str">
        <f>"秦志龙"</f>
        <v>秦志龙</v>
      </c>
    </row>
    <row r="155" ht="48" spans="1:10">
      <c r="A155" s="3">
        <v>153</v>
      </c>
      <c r="B155" s="3" t="str">
        <f>"2230202Z1016"</f>
        <v>2230202Z1016</v>
      </c>
      <c r="C155" s="3" t="str">
        <f>"王逸豪"</f>
        <v>王逸豪</v>
      </c>
      <c r="D155" s="3" t="str">
        <f>"男"</f>
        <v>男</v>
      </c>
      <c r="E155" s="3" t="str">
        <f>"数理金融学"</f>
        <v>数理金融学</v>
      </c>
      <c r="F155" s="3" t="str">
        <f>"线性代数"</f>
        <v>线性代数</v>
      </c>
      <c r="G155" s="3" t="str">
        <f>"通识基础课"</f>
        <v>通识基础课</v>
      </c>
      <c r="H155" s="3" t="str">
        <f>"周四第5，6节{第1-17周}，周四第7节{第1-17周}"</f>
        <v>周四第5，6节{第1-17周}，周四第7节{第1-17周}</v>
      </c>
      <c r="I155" s="3" t="str">
        <f>"数学学院"</f>
        <v>数学学院</v>
      </c>
      <c r="J155" s="3" t="str">
        <f>"樊胜"</f>
        <v>樊胜</v>
      </c>
    </row>
    <row r="156" ht="48" spans="1:10">
      <c r="A156" s="3">
        <v>154</v>
      </c>
      <c r="B156" s="3" t="str">
        <f>"2241202Z6021"</f>
        <v>2241202Z6021</v>
      </c>
      <c r="C156" s="3" t="str">
        <f>"曹露晴"</f>
        <v>曹露晴</v>
      </c>
      <c r="D156" s="3" t="str">
        <f>"女"</f>
        <v>女</v>
      </c>
      <c r="E156" s="3" t="str">
        <f>"财务管理"</f>
        <v>财务管理</v>
      </c>
      <c r="F156" s="3" t="str">
        <f>"会计学"</f>
        <v>会计学</v>
      </c>
      <c r="G156" s="3" t="str">
        <f>"学科基础课"</f>
        <v>学科基础课</v>
      </c>
      <c r="H156" s="3" t="str">
        <f>"周五第7节{第1-17周}，周五第8，9节{第1-17周}"</f>
        <v>周五第7节{第1-17周}，周五第8，9节{第1-17周}</v>
      </c>
      <c r="I156" s="3" t="str">
        <f>"会计学院"</f>
        <v>会计学院</v>
      </c>
      <c r="J156" s="3" t="str">
        <f>"张怡"</f>
        <v>张怡</v>
      </c>
    </row>
    <row r="157" ht="24" spans="1:10">
      <c r="A157" s="3">
        <v>155</v>
      </c>
      <c r="B157" s="3" t="str">
        <f>"224081200028"</f>
        <v>224081200028</v>
      </c>
      <c r="C157" s="3" t="str">
        <f>"沈伟"</f>
        <v>沈伟</v>
      </c>
      <c r="D157" s="3" t="str">
        <f>"男"</f>
        <v>男</v>
      </c>
      <c r="E157" s="3" t="str">
        <f>"计算机科学与技术"</f>
        <v>计算机科学与技术</v>
      </c>
      <c r="F157" s="3" t="str">
        <f>"人工智能与现代科技"</f>
        <v>人工智能与现代科技</v>
      </c>
      <c r="G157" s="3" t="str">
        <f>"通识基础课"</f>
        <v>通识基础课</v>
      </c>
      <c r="H157" s="3" t="str">
        <f>"周一第1，2节{第1-17周}"</f>
        <v>周一第1，2节{第1-17周}</v>
      </c>
      <c r="I157" s="3" t="str">
        <f>"计算机与人工智能学院"</f>
        <v>计算机与人工智能学院</v>
      </c>
      <c r="J157" s="3" t="str">
        <f>"陈珍珠"</f>
        <v>陈珍珠</v>
      </c>
    </row>
    <row r="158" ht="48" spans="1:10">
      <c r="A158" s="3">
        <v>156</v>
      </c>
      <c r="B158" s="3" t="str">
        <f>"124070100006"</f>
        <v>124070100006</v>
      </c>
      <c r="C158" s="3" t="str">
        <f>"钟毅"</f>
        <v>钟毅</v>
      </c>
      <c r="D158" s="3" t="str">
        <f>"男"</f>
        <v>男</v>
      </c>
      <c r="E158" s="3" t="str">
        <f>"数学"</f>
        <v>数学</v>
      </c>
      <c r="F158" s="3" t="str">
        <f>"经济博弈论"</f>
        <v>经济博弈论</v>
      </c>
      <c r="G158" s="3" t="str">
        <f>"专业方向课"</f>
        <v>专业方向课</v>
      </c>
      <c r="H158" s="3" t="str">
        <f>"周二第1，2节{第1-17周}，周二第3节{第1-17周}"</f>
        <v>周二第1，2节{第1-17周}，周二第3节{第1-17周}</v>
      </c>
      <c r="I158" s="3" t="s">
        <v>11</v>
      </c>
      <c r="J158" s="3" t="str">
        <f>"丁川"</f>
        <v>丁川</v>
      </c>
    </row>
    <row r="159" ht="72" spans="1:10">
      <c r="A159" s="3">
        <v>157</v>
      </c>
      <c r="B159" s="3" t="str">
        <f>"124020208002"</f>
        <v>124020208002</v>
      </c>
      <c r="C159" s="3" t="str">
        <f>"袁晨曦"</f>
        <v>袁晨曦</v>
      </c>
      <c r="D159" s="3" t="str">
        <f>"女"</f>
        <v>女</v>
      </c>
      <c r="E159" s="3" t="str">
        <f>"统计学"</f>
        <v>统计学</v>
      </c>
      <c r="F159" s="3" t="str">
        <f>"高等数学Ⅱ"</f>
        <v>高等数学Ⅱ</v>
      </c>
      <c r="G159" s="3" t="str">
        <f>"通识基础课"</f>
        <v>通识基础课</v>
      </c>
      <c r="H159" s="3" t="str">
        <f>"周二第1，2节{第1-17周}，周四第5，6节{第1-17周}，周四第7节{第1-17周}"</f>
        <v>周二第1，2节{第1-17周}，周四第5，6节{第1-17周}，周四第7节{第1-17周}</v>
      </c>
      <c r="I159" s="3" t="str">
        <f>"数学学院"</f>
        <v>数学学院</v>
      </c>
      <c r="J159" s="3" t="str">
        <f>"鹿正阳"</f>
        <v>鹿正阳</v>
      </c>
    </row>
    <row r="160" spans="1:10">
      <c r="A160" s="3">
        <v>158</v>
      </c>
      <c r="B160" s="3" t="str">
        <f>"124020203001"</f>
        <v>124020203001</v>
      </c>
      <c r="C160" s="3" t="str">
        <f>"徐庆伟"</f>
        <v>徐庆伟</v>
      </c>
      <c r="D160" s="3" t="str">
        <f>"男"</f>
        <v>男</v>
      </c>
      <c r="E160" s="3" t="str">
        <f>"财政学"</f>
        <v>财政学</v>
      </c>
      <c r="F160" s="3" t="str">
        <f>"政府会计学MOOC"</f>
        <v>政府会计学MOOC</v>
      </c>
      <c r="G160" s="3" t="str">
        <f>"慕课"</f>
        <v>慕课</v>
      </c>
      <c r="H160" s="3" t="str">
        <f>"2025年3-6月"</f>
        <v>2025年3-6月</v>
      </c>
      <c r="I160" s="3" t="str">
        <f>"财政税务学院"</f>
        <v>财政税务学院</v>
      </c>
      <c r="J160" s="3" t="str">
        <f>"周克清"</f>
        <v>周克清</v>
      </c>
    </row>
    <row r="161" ht="48" spans="1:10">
      <c r="A161" s="3">
        <v>159</v>
      </c>
      <c r="B161" s="3" t="str">
        <f>"222070100007"</f>
        <v>222070100007</v>
      </c>
      <c r="C161" s="3" t="str">
        <f>"辛琪"</f>
        <v>辛琪</v>
      </c>
      <c r="D161" s="3" t="str">
        <f>"男"</f>
        <v>男</v>
      </c>
      <c r="E161" s="3" t="str">
        <f>"数学"</f>
        <v>数学</v>
      </c>
      <c r="F161" s="3" t="str">
        <f>"高等代数Ⅱ"</f>
        <v>高等代数Ⅱ</v>
      </c>
      <c r="G161" s="3" t="str">
        <f>"通识基础课"</f>
        <v>通识基础课</v>
      </c>
      <c r="H161" s="3" t="str">
        <f>"周一第5，6节{第1-17周}，周一第7节{第1-17周}"</f>
        <v>周一第5，6节{第1-17周}，周一第7节{第1-17周}</v>
      </c>
      <c r="I161" s="3" t="s">
        <v>11</v>
      </c>
      <c r="J161" s="3" t="str">
        <f>"杜彬彬"</f>
        <v>杜彬彬</v>
      </c>
    </row>
    <row r="162" ht="48" spans="1:10">
      <c r="A162" s="3">
        <v>160</v>
      </c>
      <c r="B162" s="3" t="str">
        <f>"121120201009"</f>
        <v>121120201009</v>
      </c>
      <c r="C162" s="3" t="str">
        <f>"刘亮"</f>
        <v>刘亮</v>
      </c>
      <c r="D162" s="3" t="str">
        <f>"男"</f>
        <v>男</v>
      </c>
      <c r="E162" s="3" t="str">
        <f>"会计学"</f>
        <v>会计学</v>
      </c>
      <c r="F162" s="3" t="str">
        <f>"会计学原理"</f>
        <v>会计学原理</v>
      </c>
      <c r="G162" s="3" t="str">
        <f>"学科基础课"</f>
        <v>学科基础课</v>
      </c>
      <c r="H162" s="3" t="str">
        <f>"周五第1，2节{第1-17周}，周五第3节{第1-17周}"</f>
        <v>周五第1，2节{第1-17周}，周五第3节{第1-17周}</v>
      </c>
      <c r="I162" s="3" t="str">
        <f>"会计学院"</f>
        <v>会计学院</v>
      </c>
      <c r="J162" s="3" t="str">
        <f>"曾昌礼"</f>
        <v>曾昌礼</v>
      </c>
    </row>
    <row r="163" ht="24" spans="1:10">
      <c r="A163" s="3">
        <v>161</v>
      </c>
      <c r="B163" s="3" t="str">
        <f>"224081200021"</f>
        <v>224081200021</v>
      </c>
      <c r="C163" s="3" t="str">
        <f>"熊林博"</f>
        <v>熊林博</v>
      </c>
      <c r="D163" s="3" t="str">
        <f>"男"</f>
        <v>男</v>
      </c>
      <c r="E163" s="3" t="str">
        <f>"计算机科学与技术"</f>
        <v>计算机科学与技术</v>
      </c>
      <c r="F163" s="3" t="str">
        <f>"科学研究与论文写作指导"</f>
        <v>科学研究与论文写作指导</v>
      </c>
      <c r="G163" s="3" t="str">
        <f>"自由选修课"</f>
        <v>自由选修课</v>
      </c>
      <c r="H163" s="3" t="str">
        <f>"周一第8，9节{第1-9周}"</f>
        <v>周一第8，9节{第1-9周}</v>
      </c>
      <c r="I163" s="3" t="str">
        <f>"计算机与人工智能学院"</f>
        <v>计算机与人工智能学院</v>
      </c>
      <c r="J163" s="3" t="str">
        <f>"李永豪"</f>
        <v>李永豪</v>
      </c>
    </row>
    <row r="164" ht="48" spans="1:10">
      <c r="A164" s="3">
        <v>162</v>
      </c>
      <c r="B164" s="3" t="str">
        <f>"224070100014"</f>
        <v>224070100014</v>
      </c>
      <c r="C164" s="3" t="str">
        <f>"陈泳"</f>
        <v>陈泳</v>
      </c>
      <c r="D164" s="3" t="str">
        <f>"男"</f>
        <v>男</v>
      </c>
      <c r="E164" s="3" t="str">
        <f>"数学"</f>
        <v>数学</v>
      </c>
      <c r="F164" s="3" t="str">
        <f>"数学建模与数学实验"</f>
        <v>数学建模与数学实验</v>
      </c>
      <c r="G164" s="3" t="str">
        <f>"实践环节课"</f>
        <v>实践环节课</v>
      </c>
      <c r="H164" s="3" t="str">
        <f>"周一第5，6节{第1-17周}，周一第7节{第1-17周}"</f>
        <v>周一第5，6节{第1-17周}，周一第7节{第1-17周}</v>
      </c>
      <c r="I164" s="3" t="s">
        <v>11</v>
      </c>
      <c r="J164" s="3" t="str">
        <f>"孙云龙"</f>
        <v>孙云龙</v>
      </c>
    </row>
    <row r="165" ht="48" spans="1:10">
      <c r="A165" s="3">
        <v>163</v>
      </c>
      <c r="B165" s="3" t="str">
        <f>"224070100020"</f>
        <v>224070100020</v>
      </c>
      <c r="C165" s="3" t="str">
        <f>"王悦茹"</f>
        <v>王悦茹</v>
      </c>
      <c r="D165" s="3" t="str">
        <f>"女"</f>
        <v>女</v>
      </c>
      <c r="E165" s="3" t="str">
        <f>"数学"</f>
        <v>数学</v>
      </c>
      <c r="F165" s="3" t="str">
        <f>"线性代数"</f>
        <v>线性代数</v>
      </c>
      <c r="G165" s="3" t="str">
        <f>"通识基础课"</f>
        <v>通识基础课</v>
      </c>
      <c r="H165" s="3" t="str">
        <f>"周三第5，6节{第1-17周}，周三第7节{第1-17周}"</f>
        <v>周三第5，6节{第1-17周}，周三第7节{第1-17周}</v>
      </c>
      <c r="I165" s="3" t="s">
        <v>11</v>
      </c>
      <c r="J165" s="3" t="str">
        <f>"高雪梅"</f>
        <v>高雪梅</v>
      </c>
    </row>
    <row r="166" ht="24" spans="1:10">
      <c r="A166" s="3">
        <v>164</v>
      </c>
      <c r="B166" s="3" t="str">
        <f>"224081200011"</f>
        <v>224081200011</v>
      </c>
      <c r="C166" s="3" t="str">
        <f>"张桀"</f>
        <v>张桀</v>
      </c>
      <c r="D166" s="3" t="str">
        <f>"男"</f>
        <v>男</v>
      </c>
      <c r="E166" s="3" t="str">
        <f>"计算机科学与技术"</f>
        <v>计算机科学与技术</v>
      </c>
      <c r="F166" s="3" t="str">
        <f>"人工智能与现代科技"</f>
        <v>人工智能与现代科技</v>
      </c>
      <c r="G166" s="3" t="str">
        <f>"通识基础课"</f>
        <v>通识基础课</v>
      </c>
      <c r="H166" s="3" t="str">
        <f>"周一第1，2节{第1-17周}"</f>
        <v>周一第1，2节{第1-17周}</v>
      </c>
      <c r="I166" s="3" t="str">
        <f>"计算机与人工智能学院"</f>
        <v>计算机与人工智能学院</v>
      </c>
      <c r="J166" s="3" t="str">
        <f>"张丹"</f>
        <v>张丹</v>
      </c>
    </row>
    <row r="167" ht="48" spans="1:10">
      <c r="A167" s="3">
        <v>165</v>
      </c>
      <c r="B167" s="3" t="str">
        <f>"2230202Z1021"</f>
        <v>2230202Z1021</v>
      </c>
      <c r="C167" s="3" t="str">
        <f>"王焕"</f>
        <v>王焕</v>
      </c>
      <c r="D167" s="3" t="str">
        <f>"男"</f>
        <v>男</v>
      </c>
      <c r="E167" s="3" t="str">
        <f>"数理金融学"</f>
        <v>数理金融学</v>
      </c>
      <c r="F167" s="3" t="str">
        <f>"数理统计"</f>
        <v>数理统计</v>
      </c>
      <c r="G167" s="3" t="str">
        <f>"大学科基础课"</f>
        <v>大学科基础课</v>
      </c>
      <c r="H167" s="3" t="str">
        <f>"周三第1，2节{第1-17周}，周三第3节{第1-17周}"</f>
        <v>周三第1，2节{第1-17周}，周三第3节{第1-17周}</v>
      </c>
      <c r="I167" s="3" t="s">
        <v>11</v>
      </c>
      <c r="J167" s="3" t="str">
        <f>"李绍文"</f>
        <v>李绍文</v>
      </c>
    </row>
    <row r="168" ht="48" spans="1:10">
      <c r="A168" s="3">
        <v>166</v>
      </c>
      <c r="B168" s="3" t="str">
        <f>"224070100024"</f>
        <v>224070100024</v>
      </c>
      <c r="C168" s="3" t="str">
        <f>"郝赫"</f>
        <v>郝赫</v>
      </c>
      <c r="D168" s="3" t="str">
        <f>"男"</f>
        <v>男</v>
      </c>
      <c r="E168" s="3" t="str">
        <f>"数学"</f>
        <v>数学</v>
      </c>
      <c r="F168" s="3" t="str">
        <f>"复变函数"</f>
        <v>复变函数</v>
      </c>
      <c r="G168" s="3" t="str">
        <f>"专业方向课"</f>
        <v>专业方向课</v>
      </c>
      <c r="H168" s="3" t="str">
        <f>"周四第5，6节{第1-17周}，周四第7节{第1-17周}"</f>
        <v>周四第5，6节{第1-17周}，周四第7节{第1-17周}</v>
      </c>
      <c r="I168" s="3" t="s">
        <v>11</v>
      </c>
      <c r="J168" s="3" t="str">
        <f>"林一丁"</f>
        <v>林一丁</v>
      </c>
    </row>
    <row r="169" ht="24" spans="1:10">
      <c r="A169" s="3">
        <v>167</v>
      </c>
      <c r="B169" s="3" t="str">
        <f>"223081200018"</f>
        <v>223081200018</v>
      </c>
      <c r="C169" s="3" t="str">
        <f>"孙浩"</f>
        <v>孙浩</v>
      </c>
      <c r="D169" s="3" t="str">
        <f>"男"</f>
        <v>男</v>
      </c>
      <c r="E169" s="3" t="str">
        <f>"计算机科学与技术"</f>
        <v>计算机科学与技术</v>
      </c>
      <c r="F169" s="3" t="str">
        <f>"人工智能与现代科技"</f>
        <v>人工智能与现代科技</v>
      </c>
      <c r="G169" s="3" t="str">
        <f>"通识基础课"</f>
        <v>通识基础课</v>
      </c>
      <c r="H169" s="3" t="str">
        <f>"周四第10，11节{第1-17周}"</f>
        <v>周四第10，11节{第1-17周}</v>
      </c>
      <c r="I169" s="3" t="str">
        <f>"计算机与人工智能学院"</f>
        <v>计算机与人工智能学院</v>
      </c>
      <c r="J169" s="3" t="str">
        <f>"黄士罗"</f>
        <v>黄士罗</v>
      </c>
    </row>
    <row r="170" ht="96" spans="1:10">
      <c r="A170" s="3">
        <v>168</v>
      </c>
      <c r="B170" s="3" t="str">
        <f>"223070100019"</f>
        <v>223070100019</v>
      </c>
      <c r="C170" s="3" t="str">
        <f>"曹佳龙"</f>
        <v>曹佳龙</v>
      </c>
      <c r="D170" s="3" t="str">
        <f>"男"</f>
        <v>男</v>
      </c>
      <c r="E170" s="3" t="str">
        <f>"数学"</f>
        <v>数学</v>
      </c>
      <c r="F170" s="3" t="str">
        <f>"数学分析Ⅱ"</f>
        <v>数学分析Ⅱ</v>
      </c>
      <c r="G170" s="3" t="str">
        <f>"通识基础课"</f>
        <v>通识基础课</v>
      </c>
      <c r="H170" s="3" t="str">
        <f>"周二第1，2节{第1-17周}，周二第3节{第1-17周}，周四第5，6节{第1-17周}，周四第7节{第1-17周}"</f>
        <v>周二第1，2节{第1-17周}，周二第3节{第1-17周}，周四第5，6节{第1-17周}，周四第7节{第1-17周}</v>
      </c>
      <c r="I170" s="3" t="s">
        <v>11</v>
      </c>
      <c r="J170" s="3" t="str">
        <f>"崔红卫"</f>
        <v>崔红卫</v>
      </c>
    </row>
    <row r="171" ht="24" spans="1:10">
      <c r="A171" s="3">
        <v>169</v>
      </c>
      <c r="B171" s="3" t="str">
        <f>"224081200010"</f>
        <v>224081200010</v>
      </c>
      <c r="C171" s="3" t="str">
        <f>"李莉"</f>
        <v>李莉</v>
      </c>
      <c r="D171" s="3" t="str">
        <f>"女"</f>
        <v>女</v>
      </c>
      <c r="E171" s="3" t="str">
        <f>"计算机科学与技术"</f>
        <v>计算机科学与技术</v>
      </c>
      <c r="F171" s="3" t="str">
        <f>"人工智能与现代科技"</f>
        <v>人工智能与现代科技</v>
      </c>
      <c r="G171" s="3" t="str">
        <f>"通识基础课"</f>
        <v>通识基础课</v>
      </c>
      <c r="H171" s="3" t="str">
        <f>"周四第8，9节{第1-17周}"</f>
        <v>周四第8，9节{第1-17周}</v>
      </c>
      <c r="I171" s="3" t="str">
        <f>"计算机与人工智能学院"</f>
        <v>计算机与人工智能学院</v>
      </c>
      <c r="J171" s="3" t="str">
        <f>"王武"</f>
        <v>王武</v>
      </c>
    </row>
    <row r="172" ht="72" spans="1:10">
      <c r="A172" s="3">
        <v>170</v>
      </c>
      <c r="B172" s="3" t="str">
        <f>"123020201002"</f>
        <v>123020201002</v>
      </c>
      <c r="C172" s="3" t="str">
        <f>"赵琬瑛"</f>
        <v>赵琬瑛</v>
      </c>
      <c r="D172" s="3" t="str">
        <f>"女"</f>
        <v>女</v>
      </c>
      <c r="E172" s="3" t="str">
        <f>"国民经济学"</f>
        <v>国民经济学</v>
      </c>
      <c r="F172" s="3" t="str">
        <f>"高等数学Ⅱ"</f>
        <v>高等数学Ⅱ</v>
      </c>
      <c r="G172" s="3" t="str">
        <f>"通识基础课"</f>
        <v>通识基础课</v>
      </c>
      <c r="H172" s="3" t="str">
        <f>"周二第3，4节{第1-17周}，周四第1，2节{第1-17周}，周四第3节{第1-17周}"</f>
        <v>周二第3，4节{第1-17周}，周四第1，2节{第1-17周}，周四第3节{第1-17周}</v>
      </c>
      <c r="I172" s="3" t="s">
        <v>11</v>
      </c>
      <c r="J172" s="3" t="str">
        <f>"林一丁"</f>
        <v>林一丁</v>
      </c>
    </row>
    <row r="173" ht="48" spans="1:10">
      <c r="A173" s="3">
        <v>171</v>
      </c>
      <c r="B173" s="3" t="str">
        <f>"1231201Z5011"</f>
        <v>1231201Z5011</v>
      </c>
      <c r="C173" s="3" t="str">
        <f>"罗景予"</f>
        <v>罗景予</v>
      </c>
      <c r="D173" s="3" t="str">
        <f>"女"</f>
        <v>女</v>
      </c>
      <c r="E173" s="3" t="str">
        <f>"大数据管理"</f>
        <v>大数据管理</v>
      </c>
      <c r="F173" s="3" t="str">
        <f>"管理学原理（英）"</f>
        <v>管理学原理（英）</v>
      </c>
      <c r="G173" s="3" t="str">
        <f>"大学科基础课"</f>
        <v>大学科基础课</v>
      </c>
      <c r="H173" s="3" t="str">
        <f>"周三第5，6节{第1-17周}，周三第7节{第1-17周}"</f>
        <v>周三第5，6节{第1-17周}，周三第7节{第1-17周}</v>
      </c>
      <c r="I173" s="3" t="str">
        <f>"工商管理学院"</f>
        <v>工商管理学院</v>
      </c>
      <c r="J173" s="3" t="str">
        <f>"唐明凤"</f>
        <v>唐明凤</v>
      </c>
    </row>
    <row r="174" ht="48" spans="1:10">
      <c r="A174" s="3">
        <v>172</v>
      </c>
      <c r="B174" s="3" t="str">
        <f>"2240202Z1001"</f>
        <v>2240202Z1001</v>
      </c>
      <c r="C174" s="3" t="str">
        <f>"欧阳林玺"</f>
        <v>欧阳林玺</v>
      </c>
      <c r="D174" s="3" t="str">
        <f>"女"</f>
        <v>女</v>
      </c>
      <c r="E174" s="3" t="str">
        <f>"数理金融学"</f>
        <v>数理金融学</v>
      </c>
      <c r="F174" s="3" t="str">
        <f>"随机过程"</f>
        <v>随机过程</v>
      </c>
      <c r="G174" s="3" t="str">
        <f>"专业必修课"</f>
        <v>专业必修课</v>
      </c>
      <c r="H174" s="3" t="str">
        <f>"周三第1，2节{第1-17周}，周三第3节{第1-17周}"</f>
        <v>周三第1，2节{第1-17周}，周三第3节{第1-17周}</v>
      </c>
      <c r="I174" s="3" t="s">
        <v>11</v>
      </c>
      <c r="J174" s="3" t="str">
        <f>"骆川义"</f>
        <v>骆川义</v>
      </c>
    </row>
    <row r="175" ht="48" spans="1:10">
      <c r="A175" s="3">
        <v>173</v>
      </c>
      <c r="B175" s="3" t="str">
        <f>"124020105001"</f>
        <v>124020105001</v>
      </c>
      <c r="C175" s="3" t="str">
        <f>"朱梅"</f>
        <v>朱梅</v>
      </c>
      <c r="D175" s="3" t="str">
        <f>"女"</f>
        <v>女</v>
      </c>
      <c r="E175" s="3" t="str">
        <f>"世界经济"</f>
        <v>世界经济</v>
      </c>
      <c r="F175" s="3" t="str">
        <f>"宏观经济学"</f>
        <v>宏观经济学</v>
      </c>
      <c r="G175" s="3" t="str">
        <f>"大类平台课"</f>
        <v>大类平台课</v>
      </c>
      <c r="H175" s="3" t="str">
        <f>"周三第5，6节{第1-17周}，周三第7节{第1-17周}"</f>
        <v>周三第5，6节{第1-17周}，周三第7节{第1-17周}</v>
      </c>
      <c r="I175" s="3" t="str">
        <f>"经济学院"</f>
        <v>经济学院</v>
      </c>
      <c r="J175" s="3" t="str">
        <f>"王爱伦"</f>
        <v>王爱伦</v>
      </c>
    </row>
    <row r="176" spans="1:10">
      <c r="A176" s="3">
        <v>174</v>
      </c>
      <c r="B176" s="3" t="str">
        <f>"2220202Z7020"</f>
        <v>2220202Z7020</v>
      </c>
      <c r="C176" s="3" t="str">
        <f>"国吉帅"</f>
        <v>国吉帅</v>
      </c>
      <c r="D176" s="3" t="str">
        <f>"男"</f>
        <v>男</v>
      </c>
      <c r="E176" s="3" t="str">
        <f>"保险学"</f>
        <v>保险学</v>
      </c>
      <c r="F176" s="3" t="str">
        <f>"保险合同法MOOC"</f>
        <v>保险合同法MOOC</v>
      </c>
      <c r="G176" s="3" t="str">
        <f>"慕课"</f>
        <v>慕课</v>
      </c>
      <c r="H176" s="3" t="str">
        <f>"2025年3-6月"</f>
        <v>2025年3-6月</v>
      </c>
      <c r="I176" s="3" t="str">
        <f>"金融学院"</f>
        <v>金融学院</v>
      </c>
      <c r="J176" s="3" t="str">
        <f>"王伊琳"</f>
        <v>王伊琳</v>
      </c>
    </row>
    <row r="177" ht="48" spans="1:10">
      <c r="A177" s="3">
        <v>175</v>
      </c>
      <c r="B177" s="3" t="str">
        <f>"223120201018"</f>
        <v>223120201018</v>
      </c>
      <c r="C177" s="3" t="str">
        <f>"刘斯媛"</f>
        <v>刘斯媛</v>
      </c>
      <c r="D177" s="3" t="str">
        <f>"女"</f>
        <v>女</v>
      </c>
      <c r="E177" s="3" t="str">
        <f>"会计学"</f>
        <v>会计学</v>
      </c>
      <c r="F177" s="3" t="str">
        <f>"会计学"</f>
        <v>会计学</v>
      </c>
      <c r="G177" s="3" t="str">
        <f>"学科基础课"</f>
        <v>学科基础课</v>
      </c>
      <c r="H177" s="3" t="str">
        <f>"周四第1，2节{第1-17周}，周四第3节{第1-17周}"</f>
        <v>周四第1，2节{第1-17周}，周四第3节{第1-17周}</v>
      </c>
      <c r="I177" s="3" t="str">
        <f>"会计学院"</f>
        <v>会计学院</v>
      </c>
      <c r="J177" s="3" t="str">
        <f>"金雅玲"</f>
        <v>金雅玲</v>
      </c>
    </row>
    <row r="178" ht="36" spans="1:10">
      <c r="A178" s="3">
        <v>176</v>
      </c>
      <c r="B178" s="3" t="str">
        <f>"123020103001"</f>
        <v>123020103001</v>
      </c>
      <c r="C178" s="3" t="str">
        <f>"付漪"</f>
        <v>付漪</v>
      </c>
      <c r="D178" s="3" t="str">
        <f>"女"</f>
        <v>女</v>
      </c>
      <c r="E178" s="3" t="str">
        <f>"经济史"</f>
        <v>经济史</v>
      </c>
      <c r="F178" s="3" t="str">
        <f>"微观经济学"</f>
        <v>微观经济学</v>
      </c>
      <c r="G178" s="3" t="str">
        <f>"学科基础课"</f>
        <v>学科基础课</v>
      </c>
      <c r="H178" s="3" t="str">
        <f>"周三第10，11，12节{第1-17周}"</f>
        <v>周三第10，11，12节{第1-17周}</v>
      </c>
      <c r="I178" s="3" t="str">
        <f>"经济学院"</f>
        <v>经济学院</v>
      </c>
      <c r="J178" s="3" t="str">
        <f>"李元哲"</f>
        <v>李元哲</v>
      </c>
    </row>
    <row r="179" ht="96" spans="1:10">
      <c r="A179" s="3">
        <v>177</v>
      </c>
      <c r="B179" s="3" t="str">
        <f>"223070100003"</f>
        <v>223070100003</v>
      </c>
      <c r="C179" s="3" t="str">
        <f>"何蕊岑"</f>
        <v>何蕊岑</v>
      </c>
      <c r="D179" s="3" t="str">
        <f>"女"</f>
        <v>女</v>
      </c>
      <c r="E179" s="3" t="str">
        <f>"数学"</f>
        <v>数学</v>
      </c>
      <c r="F179" s="3" t="str">
        <f>"数学分析Ⅱ"</f>
        <v>数学分析Ⅱ</v>
      </c>
      <c r="G179" s="3" t="str">
        <f>"通识基础课"</f>
        <v>通识基础课</v>
      </c>
      <c r="H179" s="3" t="str">
        <f>"周二第1，2节{第1-17周}，周二第3节{第1-17周}，周三第5，6节{第1-17周}，周三第7节{第1-17周}"</f>
        <v>周二第1，2节{第1-17周}，周二第3节{第1-17周}，周三第5，6节{第1-17周}，周三第7节{第1-17周}</v>
      </c>
      <c r="I179" s="3" t="str">
        <f>"数学学院"</f>
        <v>数学学院</v>
      </c>
      <c r="J179" s="3" t="str">
        <f>"王永富"</f>
        <v>王永富</v>
      </c>
    </row>
    <row r="180" spans="1:10">
      <c r="A180" s="3">
        <v>178</v>
      </c>
      <c r="B180" s="3" t="str">
        <f>"223020209013"</f>
        <v>223020209013</v>
      </c>
      <c r="C180" s="3" t="str">
        <f>"王丽瑛"</f>
        <v>王丽瑛</v>
      </c>
      <c r="D180" s="3" t="str">
        <f>"女"</f>
        <v>女</v>
      </c>
      <c r="E180" s="3" t="str">
        <f>"数量经济学"</f>
        <v>数量经济学</v>
      </c>
      <c r="F180" s="3" t="str">
        <f>"计量经济学MOOC"</f>
        <v>计量经济学MOOC</v>
      </c>
      <c r="G180" s="3" t="str">
        <f>"慕课"</f>
        <v>慕课</v>
      </c>
      <c r="H180" s="3" t="str">
        <f>"2025年3-6月"</f>
        <v>2025年3-6月</v>
      </c>
      <c r="I180" s="3" t="str">
        <f>"统计学院"</f>
        <v>统计学院</v>
      </c>
      <c r="J180" s="3" t="str">
        <f>"范国斌"</f>
        <v>范国斌</v>
      </c>
    </row>
    <row r="181" ht="48" spans="1:10">
      <c r="A181" s="3">
        <v>179</v>
      </c>
      <c r="B181" s="3" t="str">
        <f>"1210202Z9002"</f>
        <v>1210202Z9002</v>
      </c>
      <c r="C181" s="3" t="str">
        <f>"吴芬"</f>
        <v>吴芬</v>
      </c>
      <c r="D181" s="3" t="str">
        <f>"女"</f>
        <v>女</v>
      </c>
      <c r="E181" s="3" t="str">
        <f>"流通经济学"</f>
        <v>流通经济学</v>
      </c>
      <c r="F181" s="3" t="str">
        <f>"概率论（理科）"</f>
        <v>概率论（理科）</v>
      </c>
      <c r="G181" s="3" t="str">
        <f>"通识基础课"</f>
        <v>通识基础课</v>
      </c>
      <c r="H181" s="3" t="str">
        <f>"周二第3，4节{第1-17周}，周四第3，4节{第1-17周}"</f>
        <v>周二第3，4节{第1-17周}，周四第3，4节{第1-17周}</v>
      </c>
      <c r="I181" s="3" t="s">
        <v>11</v>
      </c>
      <c r="J181" s="3" t="str">
        <f>"黄文毅"</f>
        <v>黄文毅</v>
      </c>
    </row>
    <row r="182" ht="48" spans="1:10">
      <c r="A182" s="3">
        <v>180</v>
      </c>
      <c r="B182" s="3" t="str">
        <f>"1240202J8005"</f>
        <v>1240202J8005</v>
      </c>
      <c r="C182" s="3" t="str">
        <f>"左永宝"</f>
        <v>左永宝</v>
      </c>
      <c r="D182" s="3" t="str">
        <f>"男"</f>
        <v>男</v>
      </c>
      <c r="E182" s="3" t="str">
        <f>"经济大数据分析"</f>
        <v>经济大数据分析</v>
      </c>
      <c r="F182" s="3" t="str">
        <f>"统计学"</f>
        <v>统计学</v>
      </c>
      <c r="G182" s="3" t="str">
        <f>"大学科基础课"</f>
        <v>大学科基础课</v>
      </c>
      <c r="H182" s="3" t="str">
        <f>"周五第5，6节{第1-17周}，周五第7节{第1-17周}"</f>
        <v>周五第5，6节{第1-17周}，周五第7节{第1-17周}</v>
      </c>
      <c r="I182" s="3" t="str">
        <f>"统计学院"</f>
        <v>统计学院</v>
      </c>
      <c r="J182" s="3" t="str">
        <f>"陈丹丹"</f>
        <v>陈丹丹</v>
      </c>
    </row>
    <row r="183" ht="24" spans="1:10">
      <c r="A183" s="3">
        <v>181</v>
      </c>
      <c r="B183" s="3" t="str">
        <f>"224081200018"</f>
        <v>224081200018</v>
      </c>
      <c r="C183" s="3" t="str">
        <f>"赵家浩"</f>
        <v>赵家浩</v>
      </c>
      <c r="D183" s="3" t="str">
        <f>"男"</f>
        <v>男</v>
      </c>
      <c r="E183" s="3" t="str">
        <f>"计算机科学与技术"</f>
        <v>计算机科学与技术</v>
      </c>
      <c r="F183" s="3" t="str">
        <f>"人工智能与现代科技"</f>
        <v>人工智能与现代科技</v>
      </c>
      <c r="G183" s="3" t="str">
        <f>"通识基础课"</f>
        <v>通识基础课</v>
      </c>
      <c r="H183" s="3" t="str">
        <f>"周一第3，4节{第1-17周}"</f>
        <v>周一第3，4节{第1-17周}</v>
      </c>
      <c r="I183" s="3" t="str">
        <f>"计算机与人工智能学院"</f>
        <v>计算机与人工智能学院</v>
      </c>
      <c r="J183" s="3" t="str">
        <f>"张丹"</f>
        <v>张丹</v>
      </c>
    </row>
    <row r="184" ht="36" spans="1:10">
      <c r="A184" s="3">
        <v>182</v>
      </c>
      <c r="B184" s="3" t="str">
        <f>"121020204044"</f>
        <v>121020204044</v>
      </c>
      <c r="C184" s="3" t="str">
        <f>"刘明昊"</f>
        <v>刘明昊</v>
      </c>
      <c r="D184" s="3" t="str">
        <f>"男"</f>
        <v>男</v>
      </c>
      <c r="E184" s="3" t="str">
        <f>"金融学"</f>
        <v>金融学</v>
      </c>
      <c r="F184" s="3" t="str">
        <f>"法律统计学"</f>
        <v>法律统计学</v>
      </c>
      <c r="G184" s="3" t="str">
        <f>"大学科基础课"</f>
        <v>大学科基础课</v>
      </c>
      <c r="H184" s="3" t="str">
        <f>"周四第10，11，12节{第1-17周}"</f>
        <v>周四第10，11，12节{第1-17周}</v>
      </c>
      <c r="I184" s="3" t="str">
        <f>"法学院"</f>
        <v>法学院</v>
      </c>
      <c r="J184" s="3" t="str">
        <f>"夏一巍"</f>
        <v>夏一巍</v>
      </c>
    </row>
    <row r="185" ht="36" spans="1:10">
      <c r="A185" s="3">
        <v>183</v>
      </c>
      <c r="B185" s="3" t="str">
        <f>"122120203003"</f>
        <v>122120203003</v>
      </c>
      <c r="C185" s="3" t="str">
        <f>"潘梦强"</f>
        <v>潘梦强</v>
      </c>
      <c r="D185" s="3" t="str">
        <f>"男"</f>
        <v>男</v>
      </c>
      <c r="E185" s="3" t="str">
        <f>"旅游管理"</f>
        <v>旅游管理</v>
      </c>
      <c r="F185" s="3" t="str">
        <f>"程序设计及应用（Python）"</f>
        <v>程序设计及应用（Python）</v>
      </c>
      <c r="G185" s="3" t="str">
        <f>"通识基础课"</f>
        <v>通识基础课</v>
      </c>
      <c r="H185" s="3" t="str">
        <f>"周四第10，11，12节{第1-17周}"</f>
        <v>周四第10，11，12节{第1-17周}</v>
      </c>
      <c r="I185" s="3" t="str">
        <f>"管理科学与工程学院"</f>
        <v>管理科学与工程学院</v>
      </c>
      <c r="J185" s="3" t="str">
        <f>"丁丹"</f>
        <v>丁丹</v>
      </c>
    </row>
    <row r="186" ht="48" spans="1:10">
      <c r="A186" s="3">
        <v>184</v>
      </c>
      <c r="B186" s="3" t="str">
        <f>"224070100017"</f>
        <v>224070100017</v>
      </c>
      <c r="C186" s="3" t="str">
        <f>"张若迅"</f>
        <v>张若迅</v>
      </c>
      <c r="D186" s="3" t="str">
        <f>"女"</f>
        <v>女</v>
      </c>
      <c r="E186" s="3" t="str">
        <f>"数学"</f>
        <v>数学</v>
      </c>
      <c r="F186" s="3" t="str">
        <f>"大数据处理"</f>
        <v>大数据处理</v>
      </c>
      <c r="G186" s="3" t="str">
        <f>"专业必修课"</f>
        <v>专业必修课</v>
      </c>
      <c r="H186" s="3" t="str">
        <f>"周三第7节{第1-17周}，周三第8，9节{第1-17周}"</f>
        <v>周三第7节{第1-17周}，周三第8，9节{第1-17周}</v>
      </c>
      <c r="I186" s="3" t="str">
        <f>"数学学院"</f>
        <v>数学学院</v>
      </c>
      <c r="J186" s="3" t="str">
        <f>"王锐"</f>
        <v>王锐</v>
      </c>
    </row>
    <row r="187" spans="1:10">
      <c r="A187" s="3">
        <v>185</v>
      </c>
      <c r="B187" s="3" t="str">
        <f>"1231202Z6002"</f>
        <v>1231202Z6002</v>
      </c>
      <c r="C187" s="3" t="str">
        <f>"朱昱璇"</f>
        <v>朱昱璇</v>
      </c>
      <c r="D187" s="3" t="str">
        <f>"女"</f>
        <v>女</v>
      </c>
      <c r="E187" s="3" t="str">
        <f>"财务管理"</f>
        <v>财务管理</v>
      </c>
      <c r="F187" s="3" t="str">
        <f>"管理会计学MOOC"</f>
        <v>管理会计学MOOC</v>
      </c>
      <c r="G187" s="3" t="str">
        <f>"慕课"</f>
        <v>慕课</v>
      </c>
      <c r="H187" s="3" t="str">
        <f>"2025年3-6月"</f>
        <v>2025年3-6月</v>
      </c>
      <c r="I187" s="3" t="str">
        <f>"会计学院"</f>
        <v>会计学院</v>
      </c>
      <c r="J187" s="3" t="str">
        <f>"李玉周"</f>
        <v>李玉周</v>
      </c>
    </row>
    <row r="188" ht="36" spans="1:10">
      <c r="A188" s="3">
        <v>186</v>
      </c>
      <c r="B188" s="3" t="str">
        <f>"2240202Z1025"</f>
        <v>2240202Z1025</v>
      </c>
      <c r="C188" s="3" t="str">
        <f>"宋缪阳"</f>
        <v>宋缪阳</v>
      </c>
      <c r="D188" s="3" t="str">
        <f>"男"</f>
        <v>男</v>
      </c>
      <c r="E188" s="3" t="str">
        <f>"数理金融学"</f>
        <v>数理金融学</v>
      </c>
      <c r="F188" s="3" t="str">
        <f>"实变函数论"</f>
        <v>实变函数论</v>
      </c>
      <c r="G188" s="3" t="str">
        <f>"专业方向课"</f>
        <v>专业方向课</v>
      </c>
      <c r="H188" s="3" t="str">
        <f>"周四第10，11，12节{第1-17周}"</f>
        <v>周四第10，11，12节{第1-17周}</v>
      </c>
      <c r="I188" s="3" t="s">
        <v>11</v>
      </c>
      <c r="J188" s="3" t="str">
        <f>"桑元琦"</f>
        <v>桑元琦</v>
      </c>
    </row>
    <row r="189" ht="48" spans="1:10">
      <c r="A189" s="3">
        <v>187</v>
      </c>
      <c r="B189" s="3" t="str">
        <f>"123020202002"</f>
        <v>123020202002</v>
      </c>
      <c r="C189" s="3" t="str">
        <f>"李静"</f>
        <v>李静</v>
      </c>
      <c r="D189" s="3" t="str">
        <f>"女"</f>
        <v>女</v>
      </c>
      <c r="E189" s="3" t="str">
        <f>"区域经济学"</f>
        <v>区域经济学</v>
      </c>
      <c r="F189" s="3" t="str">
        <f>"政治经济学"</f>
        <v>政治经济学</v>
      </c>
      <c r="G189" s="3" t="str">
        <f>"学科基础课"</f>
        <v>学科基础课</v>
      </c>
      <c r="H189" s="3" t="str">
        <f>"周三第1，2节{第1-17周}，周三第3节{第1-17周}"</f>
        <v>周三第1，2节{第1-17周}，周三第3节{第1-17周}</v>
      </c>
      <c r="I189" s="3" t="str">
        <f>"经济学院"</f>
        <v>经济学院</v>
      </c>
      <c r="J189" s="3" t="str">
        <f>"陈姝兴"</f>
        <v>陈姝兴</v>
      </c>
    </row>
    <row r="190" ht="48" spans="1:10">
      <c r="A190" s="3">
        <v>188</v>
      </c>
      <c r="B190" s="3" t="str">
        <f>"223070100017"</f>
        <v>223070100017</v>
      </c>
      <c r="C190" s="3" t="str">
        <f>"朱鑫"</f>
        <v>朱鑫</v>
      </c>
      <c r="D190" s="3" t="str">
        <f>"男"</f>
        <v>男</v>
      </c>
      <c r="E190" s="3" t="str">
        <f>"数学"</f>
        <v>数学</v>
      </c>
      <c r="F190" s="3" t="str">
        <f>"概率论（理科）"</f>
        <v>概率论（理科）</v>
      </c>
      <c r="G190" s="3" t="str">
        <f>"通识基础课"</f>
        <v>通识基础课</v>
      </c>
      <c r="H190" s="3" t="str">
        <f>"周二第1，2节{第1-17周}，周四第1，2节{第1-17周}"</f>
        <v>周二第1，2节{第1-17周}，周四第1，2节{第1-17周}</v>
      </c>
      <c r="I190" s="3" t="str">
        <f>"数学学院"</f>
        <v>数学学院</v>
      </c>
      <c r="J190" s="3" t="str">
        <f>"游杰"</f>
        <v>游杰</v>
      </c>
    </row>
    <row r="191" ht="24" spans="1:10">
      <c r="A191" s="3">
        <v>189</v>
      </c>
      <c r="B191" s="3" t="str">
        <f>"122120202002"</f>
        <v>122120202002</v>
      </c>
      <c r="C191" s="3" t="str">
        <f>"彭华玉婷"</f>
        <v>彭华玉婷</v>
      </c>
      <c r="D191" s="3" t="str">
        <f>"女"</f>
        <v>女</v>
      </c>
      <c r="E191" s="3" t="str">
        <f>"企业管理"</f>
        <v>企业管理</v>
      </c>
      <c r="F191" s="3" t="str">
        <f>"走向商涯：商科学生职业生涯规划与指导MOOC"</f>
        <v>走向商涯：商科学生职业生涯规划与指导MOOC</v>
      </c>
      <c r="G191" s="3" t="str">
        <f>"慕课"</f>
        <v>慕课</v>
      </c>
      <c r="H191" s="3" t="str">
        <f>"2025年3-6月"</f>
        <v>2025年3-6月</v>
      </c>
      <c r="I191" s="3" t="str">
        <f>"学生职业规划与就业指导中心"</f>
        <v>学生职业规划与就业指导中心</v>
      </c>
      <c r="J191" s="3" t="str">
        <f>"邹涛"</f>
        <v>邹涛</v>
      </c>
    </row>
    <row r="192" ht="48" spans="1:10">
      <c r="A192" s="3">
        <v>190</v>
      </c>
      <c r="B192" s="3" t="str">
        <f>"124071400001"</f>
        <v>124071400001</v>
      </c>
      <c r="C192" s="3" t="str">
        <f>"王凌锐"</f>
        <v>王凌锐</v>
      </c>
      <c r="D192" s="3" t="str">
        <f>"男"</f>
        <v>男</v>
      </c>
      <c r="E192" s="3" t="str">
        <f>"统计学"</f>
        <v>统计学</v>
      </c>
      <c r="F192" s="3" t="str">
        <f>"机器学习与数据挖掘"</f>
        <v>机器学习与数据挖掘</v>
      </c>
      <c r="G192" s="3" t="str">
        <f>"专业方向课"</f>
        <v>专业方向课</v>
      </c>
      <c r="H192" s="3" t="str">
        <f>"周五第1，2节{第1-17周}，周五第3节{第1-17周}"</f>
        <v>周五第1，2节{第1-17周}，周五第3节{第1-17周}</v>
      </c>
      <c r="I192" s="3" t="str">
        <f>"统计学院"</f>
        <v>统计学院</v>
      </c>
      <c r="J192" s="3" t="str">
        <f>"张佳"</f>
        <v>张佳</v>
      </c>
    </row>
    <row r="193" ht="48" spans="1:10">
      <c r="A193" s="3">
        <v>191</v>
      </c>
      <c r="B193" s="3" t="str">
        <f>"224020204045"</f>
        <v>224020204045</v>
      </c>
      <c r="C193" s="3" t="str">
        <f>"钟琳"</f>
        <v>钟琳</v>
      </c>
      <c r="D193" s="3" t="str">
        <f>"女"</f>
        <v>女</v>
      </c>
      <c r="E193" s="3" t="str">
        <f>"金融学"</f>
        <v>金融学</v>
      </c>
      <c r="F193" s="3" t="str">
        <f>"宏观经济学"</f>
        <v>宏观经济学</v>
      </c>
      <c r="G193" s="3" t="str">
        <f>"学科基础课"</f>
        <v>学科基础课</v>
      </c>
      <c r="H193" s="3" t="str">
        <f>"周一第1，2节{第1-17周}，周一第3节{第1-17周}"</f>
        <v>周一第1，2节{第1-17周}，周一第3节{第1-17周}</v>
      </c>
      <c r="I193" s="3" t="str">
        <f>"经济学院"</f>
        <v>经济学院</v>
      </c>
      <c r="J193" s="3" t="str">
        <f>"栾炳江"</f>
        <v>栾炳江</v>
      </c>
    </row>
    <row r="194" ht="48" spans="1:10">
      <c r="A194" s="3">
        <v>192</v>
      </c>
      <c r="B194" s="3" t="str">
        <f>"124120100001"</f>
        <v>124120100001</v>
      </c>
      <c r="C194" s="3" t="str">
        <f>"史锦怡"</f>
        <v>史锦怡</v>
      </c>
      <c r="D194" s="3" t="str">
        <f>"女"</f>
        <v>女</v>
      </c>
      <c r="E194" s="3" t="str">
        <f>"管理科学与工程"</f>
        <v>管理科学与工程</v>
      </c>
      <c r="F194" s="3" t="str">
        <f>"随机过程"</f>
        <v>随机过程</v>
      </c>
      <c r="G194" s="3" t="str">
        <f>"大学科基础课"</f>
        <v>大学科基础课</v>
      </c>
      <c r="H194" s="3" t="str">
        <f>"周四第5，6节{第1-17周}，周四第7节{第1-17周}"</f>
        <v>周四第5，6节{第1-17周}，周四第7节{第1-17周}</v>
      </c>
      <c r="I194" s="3" t="str">
        <f>"统计学院"</f>
        <v>统计学院</v>
      </c>
      <c r="J194" s="3" t="str">
        <f>"吴量"</f>
        <v>吴量</v>
      </c>
    </row>
    <row r="195" ht="36" spans="1:10">
      <c r="A195" s="3">
        <v>193</v>
      </c>
      <c r="B195" s="3" t="str">
        <f>"122020105003"</f>
        <v>122020105003</v>
      </c>
      <c r="C195" s="3" t="str">
        <f>"蔡汶君"</f>
        <v>蔡汶君</v>
      </c>
      <c r="D195" s="3" t="str">
        <f>"女"</f>
        <v>女</v>
      </c>
      <c r="E195" s="3" t="str">
        <f>"世界经济"</f>
        <v>世界经济</v>
      </c>
      <c r="F195" s="3" t="str">
        <f>"宏观经济学"</f>
        <v>宏观经济学</v>
      </c>
      <c r="G195" s="3" t="str">
        <f>"学科基础课"</f>
        <v>学科基础课</v>
      </c>
      <c r="H195" s="3" t="str">
        <f>"周一第10，11，12节{第1-17周}"</f>
        <v>周一第10，11，12节{第1-17周}</v>
      </c>
      <c r="I195" s="3" t="str">
        <f>"经济学院"</f>
        <v>经济学院</v>
      </c>
      <c r="J195" s="3" t="str">
        <f>"郭军杰"</f>
        <v>郭军杰</v>
      </c>
    </row>
    <row r="196" ht="48" spans="1:10">
      <c r="A196" s="3">
        <v>194</v>
      </c>
      <c r="B196" s="3" t="str">
        <f>"1240701Z1001"</f>
        <v>1240701Z1001</v>
      </c>
      <c r="C196" s="3" t="str">
        <f>"周怡"</f>
        <v>周怡</v>
      </c>
      <c r="D196" s="3" t="str">
        <f>"女"</f>
        <v>女</v>
      </c>
      <c r="E196" s="3" t="str">
        <f>"人工智能理论与应用"</f>
        <v>人工智能理论与应用</v>
      </c>
      <c r="F196" s="3" t="str">
        <f>"机器学习基础"</f>
        <v>机器学习基础</v>
      </c>
      <c r="G196" s="3" t="str">
        <f>"专业方向课"</f>
        <v>专业方向课</v>
      </c>
      <c r="H196" s="3" t="str">
        <f>"周五第1，2节{第1-17周}，周五第3节{第1-17周}"</f>
        <v>周五第1，2节{第1-17周}，周五第3节{第1-17周}</v>
      </c>
      <c r="I196" s="3" t="str">
        <f>"计算机与人工智能学院"</f>
        <v>计算机与人工智能学院</v>
      </c>
      <c r="J196" s="3" t="str">
        <f>"王武"</f>
        <v>王武</v>
      </c>
    </row>
    <row r="197" ht="36" spans="1:10">
      <c r="A197" s="3">
        <v>195</v>
      </c>
      <c r="B197" s="3" t="str">
        <f>"123120201008"</f>
        <v>123120201008</v>
      </c>
      <c r="C197" s="3" t="str">
        <f>"杨平"</f>
        <v>杨平</v>
      </c>
      <c r="D197" s="3" t="str">
        <f>"女"</f>
        <v>女</v>
      </c>
      <c r="E197" s="3" t="str">
        <f>"会计学"</f>
        <v>会计学</v>
      </c>
      <c r="F197" s="3" t="str">
        <f>"会计学原理"</f>
        <v>会计学原理</v>
      </c>
      <c r="G197" s="3" t="str">
        <f>"学科基础课"</f>
        <v>学科基础课</v>
      </c>
      <c r="H197" s="3" t="str">
        <f>"周三第10，11，12节{第1-17周}"</f>
        <v>周三第10，11，12节{第1-17周}</v>
      </c>
      <c r="I197" s="3" t="str">
        <f>"会计学院"</f>
        <v>会计学院</v>
      </c>
      <c r="J197" s="3" t="str">
        <f>"黄健"</f>
        <v>黄健</v>
      </c>
    </row>
    <row r="198" ht="48" spans="1:10">
      <c r="A198" s="3">
        <v>196</v>
      </c>
      <c r="B198" s="3" t="str">
        <f>"1231202Z6007"</f>
        <v>1231202Z6007</v>
      </c>
      <c r="C198" s="3" t="str">
        <f>"张正懿"</f>
        <v>张正懿</v>
      </c>
      <c r="D198" s="3" t="str">
        <f>"男"</f>
        <v>男</v>
      </c>
      <c r="E198" s="3" t="str">
        <f>"财务管理"</f>
        <v>财务管理</v>
      </c>
      <c r="F198" s="3" t="str">
        <f>"会计学原理"</f>
        <v>会计学原理</v>
      </c>
      <c r="G198" s="3" t="str">
        <f>"学科基础课"</f>
        <v>学科基础课</v>
      </c>
      <c r="H198" s="3" t="str">
        <f>"周五第5，6节{第1-17周}，周五第7节{第1-17周}"</f>
        <v>周五第5，6节{第1-17周}，周五第7节{第1-17周}</v>
      </c>
      <c r="I198" s="3" t="str">
        <f>"会计学院"</f>
        <v>会计学院</v>
      </c>
      <c r="J198" s="3" t="str">
        <f>"曾昌礼"</f>
        <v>曾昌礼</v>
      </c>
    </row>
    <row r="199" ht="36" spans="1:10">
      <c r="A199" s="3">
        <v>197</v>
      </c>
      <c r="B199" s="3" t="str">
        <f>"1230202J8005"</f>
        <v>1230202J8005</v>
      </c>
      <c r="C199" s="3" t="str">
        <f>"蔡雨昕"</f>
        <v>蔡雨昕</v>
      </c>
      <c r="D199" s="3" t="str">
        <f>"女"</f>
        <v>女</v>
      </c>
      <c r="E199" s="3" t="str">
        <f>"经济大数据分析"</f>
        <v>经济大数据分析</v>
      </c>
      <c r="F199" s="3" t="str">
        <f>"线性代数"</f>
        <v>线性代数</v>
      </c>
      <c r="G199" s="3" t="str">
        <f>"通识基础课"</f>
        <v>通识基础课</v>
      </c>
      <c r="H199" s="3" t="str">
        <f>"周四第10，11，12节{第1-17周}"</f>
        <v>周四第10，11，12节{第1-17周}</v>
      </c>
      <c r="I199" s="3" t="str">
        <f>"数学学院"</f>
        <v>数学学院</v>
      </c>
      <c r="J199" s="3" t="str">
        <f>"樊胜"</f>
        <v>樊胜</v>
      </c>
    </row>
    <row r="200" ht="24" spans="1:10">
      <c r="A200" s="3">
        <v>198</v>
      </c>
      <c r="B200" s="3" t="str">
        <f>"1241201Z5007"</f>
        <v>1241201Z5007</v>
      </c>
      <c r="C200" s="3" t="str">
        <f>"马港"</f>
        <v>马港</v>
      </c>
      <c r="D200" s="3" t="str">
        <f>"男"</f>
        <v>男</v>
      </c>
      <c r="E200" s="3" t="str">
        <f>"大数据管理"</f>
        <v>大数据管理</v>
      </c>
      <c r="F200" s="3" t="str">
        <f>"人工智能与现代科技"</f>
        <v>人工智能与现代科技</v>
      </c>
      <c r="G200" s="3" t="str">
        <f>"通识基础课"</f>
        <v>通识基础课</v>
      </c>
      <c r="H200" s="3" t="str">
        <f>"周五第8，9节{第1-17周}"</f>
        <v>周五第8，9节{第1-17周}</v>
      </c>
      <c r="I200" s="3" t="str">
        <f>"计算机与人工智能学院"</f>
        <v>计算机与人工智能学院</v>
      </c>
      <c r="J200" s="3" t="str">
        <f>"王武"</f>
        <v>王武</v>
      </c>
    </row>
    <row r="201" ht="48" spans="1:10">
      <c r="A201" s="3">
        <v>199</v>
      </c>
      <c r="B201" s="3" t="str">
        <f>"2241202Z5022"</f>
        <v>2241202Z5022</v>
      </c>
      <c r="C201" s="3" t="str">
        <f>"刘思缘"</f>
        <v>刘思缘</v>
      </c>
      <c r="D201" s="3" t="str">
        <f>"女"</f>
        <v>女</v>
      </c>
      <c r="E201" s="3" t="str">
        <f>"市场营销管理"</f>
        <v>市场营销管理</v>
      </c>
      <c r="F201" s="3" t="str">
        <f>"数学建模与数学实验"</f>
        <v>数学建模与数学实验</v>
      </c>
      <c r="G201" s="3" t="str">
        <f>"专业方向课"</f>
        <v>专业方向课</v>
      </c>
      <c r="H201" s="3" t="str">
        <f>"周二第1，2节{第1-17周}，周二第3节{第1-17周}"</f>
        <v>周二第1，2节{第1-17周}，周二第3节{第1-17周}</v>
      </c>
      <c r="I201" s="3" t="s">
        <v>11</v>
      </c>
      <c r="J201" s="3" t="str">
        <f>"孙云龙"</f>
        <v>孙云龙</v>
      </c>
    </row>
    <row r="202" ht="24" spans="1:10">
      <c r="A202" s="3">
        <v>200</v>
      </c>
      <c r="B202" s="3" t="str">
        <f>"223081200037"</f>
        <v>223081200037</v>
      </c>
      <c r="C202" s="3" t="str">
        <f>"鱼君潏"</f>
        <v>鱼君潏</v>
      </c>
      <c r="D202" s="3" t="str">
        <f>"男"</f>
        <v>男</v>
      </c>
      <c r="E202" s="3" t="str">
        <f>"计算机科学与技术"</f>
        <v>计算机科学与技术</v>
      </c>
      <c r="F202" s="3" t="str">
        <f>"人工智能与现代科技"</f>
        <v>人工智能与现代科技</v>
      </c>
      <c r="G202" s="3" t="str">
        <f>"通识基础课"</f>
        <v>通识基础课</v>
      </c>
      <c r="H202" s="3" t="str">
        <f>"周五第8，9节{第1-17周}"</f>
        <v>周五第8，9节{第1-17周}</v>
      </c>
      <c r="I202" s="3" t="str">
        <f>"计算机与人工智能学院"</f>
        <v>计算机与人工智能学院</v>
      </c>
      <c r="J202" s="3" t="str">
        <f>"汤自新"</f>
        <v>汤自新</v>
      </c>
    </row>
    <row r="203" ht="48" spans="1:10">
      <c r="A203" s="3">
        <v>201</v>
      </c>
      <c r="B203" s="3" t="str">
        <f>"124020208005"</f>
        <v>124020208005</v>
      </c>
      <c r="C203" s="3" t="str">
        <f>"肖亚萍"</f>
        <v>肖亚萍</v>
      </c>
      <c r="D203" s="3" t="str">
        <f>"女"</f>
        <v>女</v>
      </c>
      <c r="E203" s="3" t="str">
        <f>"统计学"</f>
        <v>统计学</v>
      </c>
      <c r="F203" s="3" t="str">
        <f>"统计学"</f>
        <v>统计学</v>
      </c>
      <c r="G203" s="3" t="str">
        <f>"大学科基础课"</f>
        <v>大学科基础课</v>
      </c>
      <c r="H203" s="3" t="str">
        <f>"周三第5，6节{第1-17周}，周三第7节{第1-17周}"</f>
        <v>周三第5，6节{第1-17周}，周三第7节{第1-17周}</v>
      </c>
      <c r="I203" s="3" t="str">
        <f>"统计学院"</f>
        <v>统计学院</v>
      </c>
      <c r="J203" s="3" t="str">
        <f>"李俭富"</f>
        <v>李俭富</v>
      </c>
    </row>
    <row r="204" ht="48" spans="1:10">
      <c r="A204" s="3">
        <v>202</v>
      </c>
      <c r="B204" s="3" t="str">
        <f>"224020209001"</f>
        <v>224020209001</v>
      </c>
      <c r="C204" s="3" t="str">
        <f>"刘杰瑞"</f>
        <v>刘杰瑞</v>
      </c>
      <c r="D204" s="3" t="str">
        <f>"男"</f>
        <v>男</v>
      </c>
      <c r="E204" s="3" t="str">
        <f>"数量经济学"</f>
        <v>数量经济学</v>
      </c>
      <c r="F204" s="3" t="str">
        <f>"宏观经济学"</f>
        <v>宏观经济学</v>
      </c>
      <c r="G204" s="3" t="str">
        <f>"学科基础课"</f>
        <v>学科基础课</v>
      </c>
      <c r="H204" s="3" t="str">
        <f>"周三第5，6节{第1-17周}，周三第7节{第1-17周}"</f>
        <v>周三第5，6节{第1-17周}，周三第7节{第1-17周}</v>
      </c>
      <c r="I204" s="3" t="str">
        <f>"经济学院"</f>
        <v>经济学院</v>
      </c>
      <c r="J204" s="3" t="str">
        <f>"邹红"</f>
        <v>邹红</v>
      </c>
    </row>
    <row r="205" ht="48" spans="1:10">
      <c r="A205" s="3">
        <v>203</v>
      </c>
      <c r="B205" s="3" t="str">
        <f>"224020204007"</f>
        <v>224020204007</v>
      </c>
      <c r="C205" s="3" t="str">
        <f>"梁育玮"</f>
        <v>梁育玮</v>
      </c>
      <c r="D205" s="3" t="str">
        <f>"女"</f>
        <v>女</v>
      </c>
      <c r="E205" s="3" t="str">
        <f>"金融学"</f>
        <v>金融学</v>
      </c>
      <c r="F205" s="3" t="str">
        <f>"程序设计与python应用"</f>
        <v>程序设计与python应用</v>
      </c>
      <c r="G205" s="3" t="str">
        <f>"通识基础课"</f>
        <v>通识基础课</v>
      </c>
      <c r="H205" s="3" t="str">
        <f>"周一第5，6节{第1-17周}，周一第7节{第1-17周}"</f>
        <v>周一第5，6节{第1-17周}，周一第7节{第1-17周}</v>
      </c>
      <c r="I205" s="3" t="str">
        <f>"管理科学与工程学院"</f>
        <v>管理科学与工程学院</v>
      </c>
      <c r="J205" s="3" t="str">
        <f>"张义刚"</f>
        <v>张义刚</v>
      </c>
    </row>
    <row r="206" ht="48" spans="1:10">
      <c r="A206" s="3">
        <v>204</v>
      </c>
      <c r="B206" s="3" t="str">
        <f>"1231202Z6005"</f>
        <v>1231202Z6005</v>
      </c>
      <c r="C206" s="3" t="str">
        <f>"王誉静"</f>
        <v>王誉静</v>
      </c>
      <c r="D206" s="3" t="str">
        <f>"女"</f>
        <v>女</v>
      </c>
      <c r="E206" s="3" t="str">
        <f>"财务管理"</f>
        <v>财务管理</v>
      </c>
      <c r="F206" s="3" t="str">
        <f>"会计学"</f>
        <v>会计学</v>
      </c>
      <c r="G206" s="3" t="str">
        <f>"学科基础课"</f>
        <v>学科基础课</v>
      </c>
      <c r="H206" s="3" t="str">
        <f>"周三第5，6节{第1-17周}，周三第7节{第1-17周}"</f>
        <v>周三第5，6节{第1-17周}，周三第7节{第1-17周}</v>
      </c>
      <c r="I206" s="3" t="str">
        <f>"会计学院"</f>
        <v>会计学院</v>
      </c>
      <c r="J206" s="3" t="str">
        <f>"杨奕楠"</f>
        <v>杨奕楠</v>
      </c>
    </row>
    <row r="207" ht="48" spans="1:10">
      <c r="A207" s="3">
        <v>205</v>
      </c>
      <c r="B207" s="3" t="str">
        <f>"122120201010"</f>
        <v>122120201010</v>
      </c>
      <c r="C207" s="3" t="str">
        <f>"陈伟忠"</f>
        <v>陈伟忠</v>
      </c>
      <c r="D207" s="3" t="str">
        <f>"男"</f>
        <v>男</v>
      </c>
      <c r="E207" s="3" t="str">
        <f>"会计学"</f>
        <v>会计学</v>
      </c>
      <c r="F207" s="3" t="str">
        <f>"会计学"</f>
        <v>会计学</v>
      </c>
      <c r="G207" s="3" t="str">
        <f>"学科基础课"</f>
        <v>学科基础课</v>
      </c>
      <c r="H207" s="3" t="str">
        <f>"周四第7节{第1-17周}，周四第8，9节{第1-17周}"</f>
        <v>周四第7节{第1-17周}，周四第8，9节{第1-17周}</v>
      </c>
      <c r="I207" s="3" t="str">
        <f>"会计学院"</f>
        <v>会计学院</v>
      </c>
      <c r="J207" s="3" t="str">
        <f>"华晨"</f>
        <v>华晨</v>
      </c>
    </row>
    <row r="208" ht="48" spans="1:10">
      <c r="A208" s="3">
        <v>206</v>
      </c>
      <c r="B208" s="3" t="str">
        <f>"124020206004"</f>
        <v>124020206004</v>
      </c>
      <c r="C208" s="3" t="str">
        <f>"杨沂霖"</f>
        <v>杨沂霖</v>
      </c>
      <c r="D208" s="3" t="str">
        <f>"女"</f>
        <v>女</v>
      </c>
      <c r="E208" s="3" t="str">
        <f>"国际贸易学"</f>
        <v>国际贸易学</v>
      </c>
      <c r="F208" s="3" t="str">
        <f>"宏观经济学（双语）"</f>
        <v>宏观经济学（双语）</v>
      </c>
      <c r="G208" s="3" t="str">
        <f>"学科基础课"</f>
        <v>学科基础课</v>
      </c>
      <c r="H208" s="3" t="str">
        <f>"周三第5，6节{第1-17周}，周三第7节{第1-17周}"</f>
        <v>周三第5，6节{第1-17周}，周三第7节{第1-17周}</v>
      </c>
      <c r="I208" s="3" t="str">
        <f>"国际商学院"</f>
        <v>国际商学院</v>
      </c>
      <c r="J208" s="3" t="str">
        <f>"李雨浓"</f>
        <v>李雨浓</v>
      </c>
    </row>
    <row r="209" ht="24" spans="1:10">
      <c r="A209" s="3">
        <v>207</v>
      </c>
      <c r="B209" s="3" t="str">
        <f>"224081200055"</f>
        <v>224081200055</v>
      </c>
      <c r="C209" s="3" t="str">
        <f>"邓小钰"</f>
        <v>邓小钰</v>
      </c>
      <c r="D209" s="3" t="str">
        <f>"女"</f>
        <v>女</v>
      </c>
      <c r="E209" s="3" t="str">
        <f>"计算机科学与技术"</f>
        <v>计算机科学与技术</v>
      </c>
      <c r="F209" s="3" t="str">
        <f>"计算机与大数据基础"</f>
        <v>计算机与大数据基础</v>
      </c>
      <c r="G209" s="3" t="str">
        <f>"通识核心课"</f>
        <v>通识核心课</v>
      </c>
      <c r="H209" s="3" t="str">
        <f>"周四第3，4节{第1-17周}"</f>
        <v>周四第3，4节{第1-17周}</v>
      </c>
      <c r="I209" s="3" t="str">
        <f>"计算机与人工智能学院"</f>
        <v>计算机与人工智能学院</v>
      </c>
      <c r="J209" s="3" t="str">
        <f>"周亚晶"</f>
        <v>周亚晶</v>
      </c>
    </row>
    <row r="210" ht="48" spans="1:10">
      <c r="A210" s="3">
        <v>208</v>
      </c>
      <c r="B210" s="3" t="str">
        <f>"223081200035"</f>
        <v>223081200035</v>
      </c>
      <c r="C210" s="3" t="str">
        <f>"冯怡"</f>
        <v>冯怡</v>
      </c>
      <c r="D210" s="3" t="str">
        <f>"女"</f>
        <v>女</v>
      </c>
      <c r="E210" s="3" t="str">
        <f>"计算机科学与技术"</f>
        <v>计算机科学与技术</v>
      </c>
      <c r="F210" s="3" t="str">
        <f>"面向对象程序设计（JAVASE）"</f>
        <v>面向对象程序设计（JAVASE）</v>
      </c>
      <c r="G210" s="3" t="str">
        <f>"通识基础课"</f>
        <v>通识基础课</v>
      </c>
      <c r="H210" s="3" t="str">
        <f>"周五第1，2节{第1-17周}，周五第3节{第1-17周}"</f>
        <v>周五第1，2节{第1-17周}，周五第3节{第1-17周}</v>
      </c>
      <c r="I210" s="3" t="str">
        <f>"计算机与人工智能学院"</f>
        <v>计算机与人工智能学院</v>
      </c>
      <c r="J210" s="3" t="str">
        <f>"吴江"</f>
        <v>吴江</v>
      </c>
    </row>
    <row r="211" ht="24" spans="1:10">
      <c r="A211" s="3">
        <v>209</v>
      </c>
      <c r="B211" s="3" t="str">
        <f>"123120203003"</f>
        <v>123120203003</v>
      </c>
      <c r="C211" s="3" t="str">
        <f>"鲜晓静"</f>
        <v>鲜晓静</v>
      </c>
      <c r="D211" s="3" t="str">
        <f>"女"</f>
        <v>女</v>
      </c>
      <c r="E211" s="3" t="str">
        <f>"旅游管理"</f>
        <v>旅游管理</v>
      </c>
      <c r="F211" s="3" t="str">
        <f>"数字经济支付MOOC"</f>
        <v>数字经济支付MOOC</v>
      </c>
      <c r="G211" s="3" t="str">
        <f>"慕课"</f>
        <v>慕课</v>
      </c>
      <c r="H211" s="3" t="str">
        <f>"2025年3-6月"</f>
        <v>2025年3-6月</v>
      </c>
      <c r="I211" s="3" t="str">
        <f>"管理科学与工程学院"</f>
        <v>管理科学与工程学院</v>
      </c>
      <c r="J211" s="3" t="str">
        <f>"李忠俊"</f>
        <v>李忠俊</v>
      </c>
    </row>
    <row r="212" ht="36" spans="1:10">
      <c r="A212" s="3">
        <v>210</v>
      </c>
      <c r="B212" s="3" t="str">
        <f>"124120203005"</f>
        <v>124120203005</v>
      </c>
      <c r="C212" s="3" t="str">
        <f>"李乐颜"</f>
        <v>李乐颜</v>
      </c>
      <c r="D212" s="3" t="str">
        <f>"女"</f>
        <v>女</v>
      </c>
      <c r="E212" s="3" t="str">
        <f>"旅游管理"</f>
        <v>旅游管理</v>
      </c>
      <c r="F212" s="3" t="str">
        <f>"程序设计及应用（Python）"</f>
        <v>程序设计及应用（Python）</v>
      </c>
      <c r="G212" s="3" t="str">
        <f>"通识基础课"</f>
        <v>通识基础课</v>
      </c>
      <c r="H212" s="3" t="str">
        <f>"周三第10，11，12节{第1-17周}"</f>
        <v>周三第10，11，12节{第1-17周}</v>
      </c>
      <c r="I212" s="3" t="str">
        <f>"管理科学与工程学院"</f>
        <v>管理科学与工程学院</v>
      </c>
      <c r="J212" s="3" t="str">
        <f>"丁丹"</f>
        <v>丁丹</v>
      </c>
    </row>
    <row r="213" ht="72" spans="1:10">
      <c r="A213" s="3">
        <v>211</v>
      </c>
      <c r="B213" s="3" t="str">
        <f>"2230202Z1025"</f>
        <v>2230202Z1025</v>
      </c>
      <c r="C213" s="3" t="str">
        <f>"田可望"</f>
        <v>田可望</v>
      </c>
      <c r="D213" s="3" t="str">
        <f>"男"</f>
        <v>男</v>
      </c>
      <c r="E213" s="3" t="str">
        <f>"数理金融学"</f>
        <v>数理金融学</v>
      </c>
      <c r="F213" s="3" t="str">
        <f>"数学分析Ⅱ"</f>
        <v>数学分析Ⅱ</v>
      </c>
      <c r="G213" s="3" t="str">
        <f>"通识基础课"</f>
        <v>通识基础课</v>
      </c>
      <c r="H213" s="3" t="str">
        <f>"周三第10，11，12节{第1-17周}，周四第10，11，12节{第1-17周}"</f>
        <v>周三第10，11，12节{第1-17周}，周四第10，11，12节{第1-17周}</v>
      </c>
      <c r="I213" s="3" t="s">
        <v>11</v>
      </c>
      <c r="J213" s="3" t="str">
        <f>"马敬堂"</f>
        <v>马敬堂</v>
      </c>
    </row>
    <row r="214" ht="48" spans="1:10">
      <c r="A214" s="3">
        <v>212</v>
      </c>
      <c r="B214" s="3" t="str">
        <f>"124020204054"</f>
        <v>124020204054</v>
      </c>
      <c r="C214" s="3" t="str">
        <f>"薛宇峰"</f>
        <v>薛宇峰</v>
      </c>
      <c r="D214" s="3" t="str">
        <f>"男"</f>
        <v>男</v>
      </c>
      <c r="E214" s="3" t="str">
        <f>"金融学"</f>
        <v>金融学</v>
      </c>
      <c r="F214" s="3" t="str">
        <f>"宏观经济学"</f>
        <v>宏观经济学</v>
      </c>
      <c r="G214" s="3" t="str">
        <f>"学科基础课"</f>
        <v>学科基础课</v>
      </c>
      <c r="H214" s="3" t="str">
        <f>"周三第1，2节{第1-17周}，周三第3节{第1-17周}"</f>
        <v>周三第1，2节{第1-17周}，周三第3节{第1-17周}</v>
      </c>
      <c r="I214" s="3" t="str">
        <f>"经济学院"</f>
        <v>经济学院</v>
      </c>
      <c r="J214" s="3" t="str">
        <f>"梁鑫"</f>
        <v>梁鑫</v>
      </c>
    </row>
    <row r="215" ht="72" spans="1:10">
      <c r="A215" s="3">
        <v>213</v>
      </c>
      <c r="B215" s="3" t="str">
        <f>"224070100019"</f>
        <v>224070100019</v>
      </c>
      <c r="C215" s="3" t="str">
        <f>"曹晓旭"</f>
        <v>曹晓旭</v>
      </c>
      <c r="D215" s="3" t="str">
        <f>"女"</f>
        <v>女</v>
      </c>
      <c r="E215" s="3" t="str">
        <f>"数学"</f>
        <v>数学</v>
      </c>
      <c r="F215" s="3" t="str">
        <f>"高等数学Ⅱ"</f>
        <v>高等数学Ⅱ</v>
      </c>
      <c r="G215" s="3" t="str">
        <f>"通识基础课"</f>
        <v>通识基础课</v>
      </c>
      <c r="H215" s="3" t="str">
        <f>"周二第1，2节{第1-17周}，周四第5，6节{第1-17周}，周四第7节{第1-17周}"</f>
        <v>周二第1，2节{第1-17周}，周四第5，6节{第1-17周}，周四第7节{第1-17周}</v>
      </c>
      <c r="I215" s="3" t="s">
        <v>11</v>
      </c>
      <c r="J215" s="3" t="str">
        <f>"代宏霞"</f>
        <v>代宏霞</v>
      </c>
    </row>
    <row r="216" ht="24" spans="1:10">
      <c r="A216" s="3">
        <v>214</v>
      </c>
      <c r="B216" s="3" t="str">
        <f>"224081200017"</f>
        <v>224081200017</v>
      </c>
      <c r="C216" s="3" t="str">
        <f>"李婷婷"</f>
        <v>李婷婷</v>
      </c>
      <c r="D216" s="3" t="str">
        <f>"女"</f>
        <v>女</v>
      </c>
      <c r="E216" s="3" t="str">
        <f>"计算机科学与技术"</f>
        <v>计算机科学与技术</v>
      </c>
      <c r="F216" s="3" t="str">
        <f>"科学研究与论文写作指导"</f>
        <v>科学研究与论文写作指导</v>
      </c>
      <c r="G216" s="3" t="str">
        <f>"自由选修课"</f>
        <v>自由选修课</v>
      </c>
      <c r="H216" s="3" t="str">
        <f>"周一第10，11节{第1-9周}"</f>
        <v>周一第10，11节{第1-9周}</v>
      </c>
      <c r="I216" s="3" t="str">
        <f>"计算机与人工智能学院"</f>
        <v>计算机与人工智能学院</v>
      </c>
      <c r="J216" s="3" t="str">
        <f>"李永豪"</f>
        <v>李永豪</v>
      </c>
    </row>
    <row r="217" ht="72" spans="1:10">
      <c r="A217" s="3">
        <v>215</v>
      </c>
      <c r="B217" s="3" t="str">
        <f>"123120100002"</f>
        <v>123120100002</v>
      </c>
      <c r="C217" s="3" t="str">
        <f>"陈叶芳"</f>
        <v>陈叶芳</v>
      </c>
      <c r="D217" s="3" t="str">
        <f>"女"</f>
        <v>女</v>
      </c>
      <c r="E217" s="3" t="str">
        <f>"管理科学与工程"</f>
        <v>管理科学与工程</v>
      </c>
      <c r="F217" s="3" t="str">
        <f>"经济博弈论"</f>
        <v>经济博弈论</v>
      </c>
      <c r="G217" s="3" t="str">
        <f>"专业必修课"</f>
        <v>专业必修课</v>
      </c>
      <c r="H217" s="3" t="str">
        <f>"周一第6节{第1-17周}，周一第7节{第1-17周}，周一第8节{第1-17周}"</f>
        <v>周一第6节{第1-17周}，周一第7节{第1-17周}，周一第8节{第1-17周}</v>
      </c>
      <c r="I217" s="3" t="str">
        <f>"管理科学与工程学院"</f>
        <v>管理科学与工程学院</v>
      </c>
      <c r="J217" s="3" t="str">
        <f>"刘宏鲲"</f>
        <v>刘宏鲲</v>
      </c>
    </row>
    <row r="218" ht="48" spans="1:10">
      <c r="A218" s="3">
        <v>216</v>
      </c>
      <c r="B218" s="3" t="str">
        <f>"124020101003"</f>
        <v>124020101003</v>
      </c>
      <c r="C218" s="3" t="str">
        <f>"梅澜川"</f>
        <v>梅澜川</v>
      </c>
      <c r="D218" s="3" t="str">
        <f>"男"</f>
        <v>男</v>
      </c>
      <c r="E218" s="3" t="str">
        <f>"政治经济学"</f>
        <v>政治经济学</v>
      </c>
      <c r="F218" s="3" t="str">
        <f>"政治经济学"</f>
        <v>政治经济学</v>
      </c>
      <c r="G218" s="3" t="str">
        <f>"学科基础课"</f>
        <v>学科基础课</v>
      </c>
      <c r="H218" s="3" t="str">
        <f>"周三第1，2节{第1-17周}，周三第3节{第1-17周}"</f>
        <v>周三第1，2节{第1-17周}，周三第3节{第1-17周}</v>
      </c>
      <c r="I218" s="3" t="str">
        <f>"经济学院"</f>
        <v>经济学院</v>
      </c>
      <c r="J218" s="3" t="str">
        <f>"王雪苓"</f>
        <v>王雪苓</v>
      </c>
    </row>
    <row r="219" ht="48" spans="1:10">
      <c r="A219" s="3">
        <v>217</v>
      </c>
      <c r="B219" s="3" t="str">
        <f>"224120202028"</f>
        <v>224120202028</v>
      </c>
      <c r="C219" s="3" t="str">
        <f>"朱江南"</f>
        <v>朱江南</v>
      </c>
      <c r="D219" s="3" t="str">
        <f>"女"</f>
        <v>女</v>
      </c>
      <c r="E219" s="3" t="str">
        <f>"企业管理"</f>
        <v>企业管理</v>
      </c>
      <c r="F219" s="3" t="str">
        <f>"管理学原理"</f>
        <v>管理学原理</v>
      </c>
      <c r="G219" s="3" t="str">
        <f>"专业方向课"</f>
        <v>专业方向课</v>
      </c>
      <c r="H219" s="3" t="str">
        <f>"周一第5，6节{第1-17周}，周一第7节{第1-17周}"</f>
        <v>周一第5，6节{第1-17周}，周一第7节{第1-17周}</v>
      </c>
      <c r="I219" s="3" t="str">
        <f>"工商管理学院"</f>
        <v>工商管理学院</v>
      </c>
      <c r="J219" s="3" t="str">
        <f>"李幸"</f>
        <v>李幸</v>
      </c>
    </row>
    <row r="220" ht="48" spans="1:10">
      <c r="A220" s="3">
        <v>218</v>
      </c>
      <c r="B220" s="3" t="str">
        <f>"223020205004"</f>
        <v>223020205004</v>
      </c>
      <c r="C220" s="3" t="str">
        <f>"王倩"</f>
        <v>王倩</v>
      </c>
      <c r="D220" s="3" t="str">
        <f>"女"</f>
        <v>女</v>
      </c>
      <c r="E220" s="3" t="str">
        <f>"产业经济学"</f>
        <v>产业经济学</v>
      </c>
      <c r="F220" s="3" t="str">
        <f>"微观经济学（英）"</f>
        <v>微观经济学（英）</v>
      </c>
      <c r="G220" s="3" t="str">
        <f>"大学科基础课"</f>
        <v>大学科基础课</v>
      </c>
      <c r="H220" s="3" t="str">
        <f>"周三第5，6节{第1-17周}，周三第7节{第1-17周}"</f>
        <v>周三第5，6节{第1-17周}，周三第7节{第1-17周}</v>
      </c>
      <c r="I220" s="3" t="str">
        <f>"工商管理学院"</f>
        <v>工商管理学院</v>
      </c>
      <c r="J220" s="3" t="str">
        <f>"董大鑫"</f>
        <v>董大鑫</v>
      </c>
    </row>
    <row r="221" ht="48" spans="1:10">
      <c r="A221" s="3">
        <v>219</v>
      </c>
      <c r="B221" s="3" t="str">
        <f>"2230202J9002"</f>
        <v>2230202J9002</v>
      </c>
      <c r="C221" s="3" t="str">
        <f>"雷娅南"</f>
        <v>雷娅南</v>
      </c>
      <c r="D221" s="3" t="str">
        <f>"女"</f>
        <v>女</v>
      </c>
      <c r="E221" s="3" t="str">
        <f>"财富管理"</f>
        <v>财富管理</v>
      </c>
      <c r="F221" s="3" t="str">
        <f>"货币金融学"</f>
        <v>货币金融学</v>
      </c>
      <c r="G221" s="3" t="str">
        <f>"大学科基础课"</f>
        <v>大学科基础课</v>
      </c>
      <c r="H221" s="3" t="str">
        <f>"周四第5，6节{第1-17周}，周四第7节{第1-17周}"</f>
        <v>周四第5，6节{第1-17周}，周四第7节{第1-17周}</v>
      </c>
      <c r="I221" s="3" t="str">
        <f>"金融学院"</f>
        <v>金融学院</v>
      </c>
      <c r="J221" s="3" t="str">
        <f>"周丽晖"</f>
        <v>周丽晖</v>
      </c>
    </row>
    <row r="222" ht="48" spans="1:10">
      <c r="A222" s="3">
        <v>220</v>
      </c>
      <c r="B222" s="3" t="str">
        <f>"2230202Z1001"</f>
        <v>2230202Z1001</v>
      </c>
      <c r="C222" s="3" t="str">
        <f>"孔祥培"</f>
        <v>孔祥培</v>
      </c>
      <c r="D222" s="3" t="str">
        <f>"男"</f>
        <v>男</v>
      </c>
      <c r="E222" s="3" t="str">
        <f>"数理金融学"</f>
        <v>数理金融学</v>
      </c>
      <c r="F222" s="3" t="str">
        <f>"概率论（理科）"</f>
        <v>概率论（理科）</v>
      </c>
      <c r="G222" s="3" t="str">
        <f>"通识基础课"</f>
        <v>通识基础课</v>
      </c>
      <c r="H222" s="3" t="str">
        <f>"周三第5，6节{第1-17周}，周四第5，6节{第1-17周}"</f>
        <v>周三第5，6节{第1-17周}，周四第5，6节{第1-17周}</v>
      </c>
      <c r="I222" s="3" t="s">
        <v>11</v>
      </c>
      <c r="J222" s="3" t="str">
        <f>"吴萌"</f>
        <v>吴萌</v>
      </c>
    </row>
    <row r="223" ht="36" spans="1:10">
      <c r="A223" s="3">
        <v>221</v>
      </c>
      <c r="B223" s="3" t="str">
        <f>"1240202J8006"</f>
        <v>1240202J8006</v>
      </c>
      <c r="C223" s="3" t="str">
        <f>"孙珂祎"</f>
        <v>孙珂祎</v>
      </c>
      <c r="D223" s="3" t="str">
        <f>"女"</f>
        <v>女</v>
      </c>
      <c r="E223" s="3" t="str">
        <f>"经济大数据分析"</f>
        <v>经济大数据分析</v>
      </c>
      <c r="F223" s="3" t="str">
        <f>"计量经济学"</f>
        <v>计量经济学</v>
      </c>
      <c r="G223" s="3" t="str">
        <f>"专业方向课"</f>
        <v>专业方向课</v>
      </c>
      <c r="H223" s="3" t="str">
        <f>"周二第10，11，12节{第1-17周}"</f>
        <v>周二第10，11，12节{第1-17周}</v>
      </c>
      <c r="I223" s="3" t="str">
        <f>"统计学院"</f>
        <v>统计学院</v>
      </c>
      <c r="J223" s="3" t="str">
        <f>"谢昕伶"</f>
        <v>谢昕伶</v>
      </c>
    </row>
    <row r="224" ht="48" spans="1:10">
      <c r="A224" s="3">
        <v>222</v>
      </c>
      <c r="B224" s="3" t="str">
        <f>"224070100018"</f>
        <v>224070100018</v>
      </c>
      <c r="C224" s="3" t="str">
        <f>"郑群川"</f>
        <v>郑群川</v>
      </c>
      <c r="D224" s="3" t="str">
        <f>"男"</f>
        <v>男</v>
      </c>
      <c r="E224" s="3" t="str">
        <f>"数学"</f>
        <v>数学</v>
      </c>
      <c r="F224" s="3" t="str">
        <f>"数理统计"</f>
        <v>数理统计</v>
      </c>
      <c r="G224" s="3" t="str">
        <f>"大学科基础课"</f>
        <v>大学科基础课</v>
      </c>
      <c r="H224" s="3" t="str">
        <f>"周三第5，6节{第1-17周}，周三第7节{第1-17周}"</f>
        <v>周三第5，6节{第1-17周}，周三第7节{第1-17周}</v>
      </c>
      <c r="I224" s="3" t="s">
        <v>11</v>
      </c>
      <c r="J224" s="3" t="str">
        <f>"林谦"</f>
        <v>林谦</v>
      </c>
    </row>
    <row r="225" ht="48" spans="1:10">
      <c r="A225" s="3">
        <v>223</v>
      </c>
      <c r="B225" s="3" t="str">
        <f>"2230202Z2002"</f>
        <v>2230202Z2002</v>
      </c>
      <c r="C225" s="3" t="str">
        <f>"张俊"</f>
        <v>张俊</v>
      </c>
      <c r="D225" s="3" t="str">
        <f>"男"</f>
        <v>男</v>
      </c>
      <c r="E225" s="3" t="str">
        <f>"金融工程"</f>
        <v>金融工程</v>
      </c>
      <c r="F225" s="3" t="str">
        <f>"线性代数"</f>
        <v>线性代数</v>
      </c>
      <c r="G225" s="3" t="str">
        <f>"通识基础课"</f>
        <v>通识基础课</v>
      </c>
      <c r="H225" s="3" t="str">
        <f>"周一第5，6节{第1-17周}，周一第7节{第1-17周}"</f>
        <v>周一第5，6节{第1-17周}，周一第7节{第1-17周}</v>
      </c>
      <c r="I225" s="3" t="str">
        <f>"数学学院"</f>
        <v>数学学院</v>
      </c>
      <c r="J225" s="3" t="str">
        <f>"樊胜"</f>
        <v>樊胜</v>
      </c>
    </row>
    <row r="226" ht="24" spans="1:10">
      <c r="A226" s="3">
        <v>224</v>
      </c>
      <c r="B226" s="3" t="str">
        <f>"223081200053"</f>
        <v>223081200053</v>
      </c>
      <c r="C226" s="3" t="str">
        <f>"杨科强"</f>
        <v>杨科强</v>
      </c>
      <c r="D226" s="3" t="str">
        <f>"男"</f>
        <v>男</v>
      </c>
      <c r="E226" s="3" t="str">
        <f>"计算机科学与技术"</f>
        <v>计算机科学与技术</v>
      </c>
      <c r="F226" s="3" t="str">
        <f>"人工智能与现代科技"</f>
        <v>人工智能与现代科技</v>
      </c>
      <c r="G226" s="3" t="str">
        <f>"通识基础课"</f>
        <v>通识基础课</v>
      </c>
      <c r="H226" s="3" t="str">
        <f>"周五第3，4节{第1-17周}"</f>
        <v>周五第3，4节{第1-17周}</v>
      </c>
      <c r="I226" s="3" t="str">
        <f>"计算机与人工智能学院"</f>
        <v>计算机与人工智能学院</v>
      </c>
      <c r="J226" s="3" t="str">
        <f>"杨山田"</f>
        <v>杨山田</v>
      </c>
    </row>
    <row r="227" ht="48" spans="1:10">
      <c r="A227" s="3">
        <v>225</v>
      </c>
      <c r="B227" s="3" t="str">
        <f>"223081200036"</f>
        <v>223081200036</v>
      </c>
      <c r="C227" s="3" t="str">
        <f>"朱庆鹏"</f>
        <v>朱庆鹏</v>
      </c>
      <c r="D227" s="3" t="str">
        <f>"男"</f>
        <v>男</v>
      </c>
      <c r="E227" s="3" t="str">
        <f>"计算机科学与技术"</f>
        <v>计算机科学与技术</v>
      </c>
      <c r="F227" s="3" t="str">
        <f>"计算机组成原理"</f>
        <v>计算机组成原理</v>
      </c>
      <c r="G227" s="3" t="str">
        <f>"大学科基础课"</f>
        <v>大学科基础课</v>
      </c>
      <c r="H227" s="3" t="str">
        <f>"周一第1，2节{第1-17周}，周一第3节{第1-17周}"</f>
        <v>周一第1，2节{第1-17周}，周一第3节{第1-17周}</v>
      </c>
      <c r="I227" s="3" t="str">
        <f>"计算机与人工智能学院"</f>
        <v>计算机与人工智能学院</v>
      </c>
      <c r="J227" s="3" t="str">
        <f>"马奥"</f>
        <v>马奥</v>
      </c>
    </row>
    <row r="228" ht="36" spans="1:10">
      <c r="A228" s="3">
        <v>226</v>
      </c>
      <c r="B228" s="3" t="str">
        <f>"224081200052"</f>
        <v>224081200052</v>
      </c>
      <c r="C228" s="3" t="str">
        <f>"金敬文"</f>
        <v>金敬文</v>
      </c>
      <c r="D228" s="3" t="str">
        <f>"女"</f>
        <v>女</v>
      </c>
      <c r="E228" s="3" t="str">
        <f>"计算机科学与技术"</f>
        <v>计算机科学与技术</v>
      </c>
      <c r="F228" s="3" t="str">
        <f>"机器学习"</f>
        <v>机器学习</v>
      </c>
      <c r="G228" s="3" t="str">
        <f>"专业必修课"</f>
        <v>专业必修课</v>
      </c>
      <c r="H228" s="3" t="str">
        <f>"周一第10，11，12节{第1-17周}"</f>
        <v>周一第10，11，12节{第1-17周}</v>
      </c>
      <c r="I228" s="3" t="str">
        <f>"计算机与人工智能学院"</f>
        <v>计算机与人工智能学院</v>
      </c>
      <c r="J228" s="3" t="str">
        <f>"温良剑"</f>
        <v>温良剑</v>
      </c>
    </row>
    <row r="229" ht="72" spans="1:10">
      <c r="A229" s="3">
        <v>227</v>
      </c>
      <c r="B229" s="3" t="str">
        <f>"223020204106"</f>
        <v>223020204106</v>
      </c>
      <c r="C229" s="3" t="str">
        <f>"周显凤"</f>
        <v>周显凤</v>
      </c>
      <c r="D229" s="3" t="str">
        <f>"男"</f>
        <v>男</v>
      </c>
      <c r="E229" s="3" t="str">
        <f>"金融学"</f>
        <v>金融学</v>
      </c>
      <c r="F229" s="3" t="str">
        <f>"高等数学Ⅱ"</f>
        <v>高等数学Ⅱ</v>
      </c>
      <c r="G229" s="3" t="str">
        <f>"通识基础课"</f>
        <v>通识基础课</v>
      </c>
      <c r="H229" s="3" t="str">
        <f>"周二第3，4节{第1-17周}，周四第1，2节{第1-17周}，周四第3节{第1-17周}"</f>
        <v>周二第3，4节{第1-17周}，周四第1，2节{第1-17周}，周四第3节{第1-17周}</v>
      </c>
      <c r="I229" s="3" t="str">
        <f>"数学学院"</f>
        <v>数学学院</v>
      </c>
      <c r="J229" s="3" t="str">
        <f>"鹿正阳"</f>
        <v>鹿正阳</v>
      </c>
    </row>
    <row r="230" ht="24" spans="1:10">
      <c r="A230" s="3">
        <v>228</v>
      </c>
      <c r="B230" s="3" t="str">
        <f>"1240701Z1003"</f>
        <v>1240701Z1003</v>
      </c>
      <c r="C230" s="3" t="str">
        <f>"杨国威"</f>
        <v>杨国威</v>
      </c>
      <c r="D230" s="3" t="str">
        <f>"男"</f>
        <v>男</v>
      </c>
      <c r="E230" s="3" t="str">
        <f>"人工智能理论与应用"</f>
        <v>人工智能理论与应用</v>
      </c>
      <c r="F230" s="3" t="str">
        <f>"人工智能与现代科技"</f>
        <v>人工智能与现代科技</v>
      </c>
      <c r="G230" s="3" t="str">
        <f>"通识基础课"</f>
        <v>通识基础课</v>
      </c>
      <c r="H230" s="3" t="str">
        <f>"周四第10，11节{第1-17周}"</f>
        <v>周四第10，11节{第1-17周}</v>
      </c>
      <c r="I230" s="3" t="str">
        <f>"计算机与人工智能学院"</f>
        <v>计算机与人工智能学院</v>
      </c>
      <c r="J230" s="3" t="str">
        <f>"王武"</f>
        <v>王武</v>
      </c>
    </row>
    <row r="231" ht="48" spans="1:10">
      <c r="A231" s="3">
        <v>229</v>
      </c>
      <c r="B231" s="3" t="str">
        <f>"2240202J5003"</f>
        <v>2240202J5003</v>
      </c>
      <c r="C231" s="3" t="str">
        <f>"胡佳蕙"</f>
        <v>胡佳蕙</v>
      </c>
      <c r="D231" s="3" t="str">
        <f>"女"</f>
        <v>女</v>
      </c>
      <c r="E231" s="3" t="str">
        <f>"农业经济学"</f>
        <v>农业经济学</v>
      </c>
      <c r="F231" s="3" t="str">
        <f>"微观经济学"</f>
        <v>微观经济学</v>
      </c>
      <c r="G231" s="3" t="str">
        <f>"通识基础课"</f>
        <v>通识基础课</v>
      </c>
      <c r="H231" s="3" t="str">
        <f>"周一第5，6节{第1-17周}，周一第7节{第1-17周}"</f>
        <v>周一第5，6节{第1-17周}，周一第7节{第1-17周}</v>
      </c>
      <c r="I231" s="3" t="str">
        <f>"工商管理学院"</f>
        <v>工商管理学院</v>
      </c>
      <c r="J231" s="3" t="str">
        <f>"蒋玉"</f>
        <v>蒋玉</v>
      </c>
    </row>
    <row r="232" ht="36" spans="1:10">
      <c r="A232" s="3">
        <v>230</v>
      </c>
      <c r="B232" s="3" t="str">
        <f>"2230202Z1024"</f>
        <v>2230202Z1024</v>
      </c>
      <c r="C232" s="3" t="str">
        <f>"余颖"</f>
        <v>余颖</v>
      </c>
      <c r="D232" s="3" t="str">
        <f>"女"</f>
        <v>女</v>
      </c>
      <c r="E232" s="3" t="str">
        <f>"数理金融学"</f>
        <v>数理金融学</v>
      </c>
      <c r="F232" s="3" t="str">
        <f>"数学建模与数学实验"</f>
        <v>数学建模与数学实验</v>
      </c>
      <c r="G232" s="3" t="str">
        <f>"自由选修课"</f>
        <v>自由选修课</v>
      </c>
      <c r="H232" s="3" t="str">
        <f>"周二第10，11，12节{第1-17周}"</f>
        <v>周二第10，11，12节{第1-17周}</v>
      </c>
      <c r="I232" s="3" t="s">
        <v>11</v>
      </c>
      <c r="J232" s="3" t="str">
        <f>"戴岱"</f>
        <v>戴岱</v>
      </c>
    </row>
    <row r="233" ht="36" spans="1:10">
      <c r="A233" s="3">
        <v>231</v>
      </c>
      <c r="B233" s="3" t="str">
        <f>"224020205011"</f>
        <v>224020205011</v>
      </c>
      <c r="C233" s="3" t="str">
        <f>"罗鑫"</f>
        <v>罗鑫</v>
      </c>
      <c r="D233" s="3" t="str">
        <f>"男"</f>
        <v>男</v>
      </c>
      <c r="E233" s="3" t="str">
        <f>"产业经济学"</f>
        <v>产业经济学</v>
      </c>
      <c r="F233" s="3" t="str">
        <f>"微观经济学（英）"</f>
        <v>微观经济学（英）</v>
      </c>
      <c r="G233" s="3" t="str">
        <f>"大学科基础课"</f>
        <v>大学科基础课</v>
      </c>
      <c r="H233" s="3" t="str">
        <f>"周三第10，11，12节{第1-17周}"</f>
        <v>周三第10，11，12节{第1-17周}</v>
      </c>
      <c r="I233" s="3" t="str">
        <f>"工商管理学院"</f>
        <v>工商管理学院</v>
      </c>
      <c r="J233" s="3" t="str">
        <f>"董大鑫"</f>
        <v>董大鑫</v>
      </c>
    </row>
    <row r="234" ht="72" spans="1:10">
      <c r="A234" s="3">
        <v>232</v>
      </c>
      <c r="B234" s="3" t="str">
        <f>"222070100006"</f>
        <v>222070100006</v>
      </c>
      <c r="C234" s="3" t="str">
        <f>"贾楠"</f>
        <v>贾楠</v>
      </c>
      <c r="D234" s="3" t="str">
        <f>"女"</f>
        <v>女</v>
      </c>
      <c r="E234" s="3" t="str">
        <f>"数学"</f>
        <v>数学</v>
      </c>
      <c r="F234" s="3" t="str">
        <f>"高等数学Ⅱ"</f>
        <v>高等数学Ⅱ</v>
      </c>
      <c r="G234" s="3" t="str">
        <f>"通识基础课"</f>
        <v>通识基础课</v>
      </c>
      <c r="H234" s="3" t="str">
        <f>"周二第1，2节{第1-17周}，周四第1，2节{第1-17周}，周四第3节{第1-17周}"</f>
        <v>周二第1，2节{第1-17周}，周四第1，2节{第1-17周}，周四第3节{第1-17周}</v>
      </c>
      <c r="I234" s="3" t="s">
        <v>11</v>
      </c>
      <c r="J234" s="3" t="str">
        <f>"李凤英"</f>
        <v>李凤英</v>
      </c>
    </row>
    <row r="235" ht="36" spans="1:10">
      <c r="A235" s="3">
        <v>233</v>
      </c>
      <c r="B235" s="3" t="str">
        <f>"1230202J5003"</f>
        <v>1230202J5003</v>
      </c>
      <c r="C235" s="3" t="str">
        <f>"陈建航"</f>
        <v>陈建航</v>
      </c>
      <c r="D235" s="3" t="str">
        <f>"女"</f>
        <v>女</v>
      </c>
      <c r="E235" s="3" t="str">
        <f>"农业经济学"</f>
        <v>农业经济学</v>
      </c>
      <c r="F235" s="3" t="str">
        <f>"微观经济学"</f>
        <v>微观经济学</v>
      </c>
      <c r="G235" s="3" t="str">
        <f>"学科基础课"</f>
        <v>学科基础课</v>
      </c>
      <c r="H235" s="3" t="str">
        <f>"周二第10，11，12节{第1-17周}"</f>
        <v>周二第10，11，12节{第1-17周}</v>
      </c>
      <c r="I235" s="3" t="str">
        <f>"经济学院"</f>
        <v>经济学院</v>
      </c>
      <c r="J235" s="3" t="str">
        <f>"徐扬帆"</f>
        <v>徐扬帆</v>
      </c>
    </row>
    <row r="236" ht="48" spans="1:10">
      <c r="A236" s="3">
        <v>234</v>
      </c>
      <c r="B236" s="3" t="str">
        <f>"1221201Z5003"</f>
        <v>1221201Z5003</v>
      </c>
      <c r="C236" s="3" t="str">
        <f>"王斌"</f>
        <v>王斌</v>
      </c>
      <c r="D236" s="3" t="str">
        <f>"男"</f>
        <v>男</v>
      </c>
      <c r="E236" s="3" t="str">
        <f>"大数据管理"</f>
        <v>大数据管理</v>
      </c>
      <c r="F236" s="3" t="str">
        <f>"程序设计及应用（Python）"</f>
        <v>程序设计及应用（Python）</v>
      </c>
      <c r="G236" s="3" t="str">
        <f>"通识基础课"</f>
        <v>通识基础课</v>
      </c>
      <c r="H236" s="3" t="str">
        <f>"周四第5，6节{第1-17周}，周四第7节{第1-17周}"</f>
        <v>周四第5，6节{第1-17周}，周四第7节{第1-17周}</v>
      </c>
      <c r="I236" s="3" t="str">
        <f>"管理科学与工程学院"</f>
        <v>管理科学与工程学院</v>
      </c>
      <c r="J236" s="3" t="str">
        <f>"李瑾坤"</f>
        <v>李瑾坤</v>
      </c>
    </row>
    <row r="237" ht="72" spans="1:10">
      <c r="A237" s="3">
        <v>235</v>
      </c>
      <c r="B237" s="3" t="str">
        <f>"223070100012"</f>
        <v>223070100012</v>
      </c>
      <c r="C237" s="3" t="str">
        <f>"穆淑敏"</f>
        <v>穆淑敏</v>
      </c>
      <c r="D237" s="3" t="str">
        <f>"女"</f>
        <v>女</v>
      </c>
      <c r="E237" s="3" t="str">
        <f>"数学"</f>
        <v>数学</v>
      </c>
      <c r="F237" s="3" t="str">
        <f>"高等数学Ⅱ"</f>
        <v>高等数学Ⅱ</v>
      </c>
      <c r="G237" s="3" t="str">
        <f>"通识基础课"</f>
        <v>通识基础课</v>
      </c>
      <c r="H237" s="3" t="str">
        <f>"周二第1，2节{第1-17周}，周四第5，6节{第1-17周}，周四第7节{第1-17周}"</f>
        <v>周二第1，2节{第1-17周}，周四第5，6节{第1-17周}，周四第7节{第1-17周}</v>
      </c>
      <c r="I237" s="3" t="str">
        <f>"数学学院"</f>
        <v>数学学院</v>
      </c>
      <c r="J237" s="3" t="str">
        <f>"李双龙"</f>
        <v>李双龙</v>
      </c>
    </row>
    <row r="238" ht="24" spans="1:10">
      <c r="A238" s="3">
        <v>236</v>
      </c>
      <c r="B238" s="3" t="str">
        <f>"124030503001"</f>
        <v>124030503001</v>
      </c>
      <c r="C238" s="3" t="str">
        <f>"永林钇"</f>
        <v>永林钇</v>
      </c>
      <c r="D238" s="3" t="str">
        <f>"男"</f>
        <v>男</v>
      </c>
      <c r="E238" s="3" t="str">
        <f>"马克思主义中国化研究"</f>
        <v>马克思主义中国化研究</v>
      </c>
      <c r="F238" s="3" t="str">
        <f>"思想道德与法治"</f>
        <v>思想道德与法治</v>
      </c>
      <c r="G238" s="3" t="str">
        <f>"思想政治理论课"</f>
        <v>思想政治理论课</v>
      </c>
      <c r="H238" s="3" t="str">
        <f>"周四第5，6节{第1-17周}"</f>
        <v>周四第5，6节{第1-17周}</v>
      </c>
      <c r="I238" s="3" t="str">
        <f>"马克思主义学院"</f>
        <v>马克思主义学院</v>
      </c>
      <c r="J238" s="3" t="str">
        <f>"段江波"</f>
        <v>段江波</v>
      </c>
    </row>
    <row r="239" ht="48" spans="1:10">
      <c r="A239" s="3">
        <v>237</v>
      </c>
      <c r="B239" s="3" t="str">
        <f>"2230202J5002"</f>
        <v>2230202J5002</v>
      </c>
      <c r="C239" s="3" t="str">
        <f>"徐晨曦"</f>
        <v>徐晨曦</v>
      </c>
      <c r="D239" s="3" t="str">
        <f>"男"</f>
        <v>男</v>
      </c>
      <c r="E239" s="3" t="str">
        <f>"农业经济学"</f>
        <v>农业经济学</v>
      </c>
      <c r="F239" s="3" t="str">
        <f>"微观经济学"</f>
        <v>微观经济学</v>
      </c>
      <c r="G239" s="3" t="str">
        <f>"通识基础课"</f>
        <v>通识基础课</v>
      </c>
      <c r="H239" s="3" t="str">
        <f>"周一第5，6节{第1-17周}，周一第7节{第1-17周}"</f>
        <v>周一第5，6节{第1-17周}，周一第7节{第1-17周}</v>
      </c>
      <c r="I239" s="3" t="str">
        <f>"经济学院"</f>
        <v>经济学院</v>
      </c>
      <c r="J239" s="3" t="str">
        <f>"王雨祥"</f>
        <v>王雨祥</v>
      </c>
    </row>
    <row r="240" spans="1:10">
      <c r="A240" s="3">
        <v>238</v>
      </c>
      <c r="B240" s="3" t="str">
        <f>"224025400065"</f>
        <v>224025400065</v>
      </c>
      <c r="C240" s="3" t="str">
        <f>"王新华"</f>
        <v>王新华</v>
      </c>
      <c r="D240" s="3" t="str">
        <f>"女"</f>
        <v>女</v>
      </c>
      <c r="E240" s="3" t="str">
        <f>"国际商务"</f>
        <v>国际商务</v>
      </c>
      <c r="F240" s="3" t="str">
        <f>"税法MOOC"</f>
        <v>税法MOOC</v>
      </c>
      <c r="G240" s="3" t="str">
        <f>"慕课"</f>
        <v>慕课</v>
      </c>
      <c r="H240" s="3" t="str">
        <f>"2025年3-6月"</f>
        <v>2025年3-6月</v>
      </c>
      <c r="I240" s="3" t="str">
        <f>"财政税务学院"</f>
        <v>财政税务学院</v>
      </c>
      <c r="J240" s="3" t="str">
        <f>"吕敏"</f>
        <v>吕敏</v>
      </c>
    </row>
    <row r="241" ht="36" spans="1:10">
      <c r="A241" s="3">
        <v>239</v>
      </c>
      <c r="B241" s="3" t="str">
        <f>"224081200016"</f>
        <v>224081200016</v>
      </c>
      <c r="C241" s="3" t="str">
        <f>"丁建新"</f>
        <v>丁建新</v>
      </c>
      <c r="D241" s="3" t="str">
        <f>"男"</f>
        <v>男</v>
      </c>
      <c r="E241" s="3" t="str">
        <f>"计算机科学与技术"</f>
        <v>计算机科学与技术</v>
      </c>
      <c r="F241" s="3" t="str">
        <f>"机器学习"</f>
        <v>机器学习</v>
      </c>
      <c r="G241" s="3" t="str">
        <f>"专业必修课"</f>
        <v>专业必修课</v>
      </c>
      <c r="H241" s="3" t="str">
        <f>"周三第10，11，12节{第1-17周}"</f>
        <v>周三第10，11，12节{第1-17周}</v>
      </c>
      <c r="I241" s="3" t="str">
        <f>"计算机与人工智能学院"</f>
        <v>计算机与人工智能学院</v>
      </c>
      <c r="J241" s="3" t="str">
        <f>"温良剑"</f>
        <v>温良剑</v>
      </c>
    </row>
    <row r="242" ht="36" spans="1:10">
      <c r="A242" s="3">
        <v>240</v>
      </c>
      <c r="B242" s="3" t="str">
        <f>"223081200056"</f>
        <v>223081200056</v>
      </c>
      <c r="C242" s="3" t="str">
        <f>"谢炎哲"</f>
        <v>谢炎哲</v>
      </c>
      <c r="D242" s="3" t="str">
        <f>"男"</f>
        <v>男</v>
      </c>
      <c r="E242" s="3" t="str">
        <f>"计算机科学与技术"</f>
        <v>计算机科学与技术</v>
      </c>
      <c r="F242" s="3" t="str">
        <f>"操作系统"</f>
        <v>操作系统</v>
      </c>
      <c r="G242" s="3" t="str">
        <f>"大学科基础课"</f>
        <v>大学科基础课</v>
      </c>
      <c r="H242" s="3" t="str">
        <f>"周一第10，11，12节{第1-17周}"</f>
        <v>周一第10，11，12节{第1-17周}</v>
      </c>
      <c r="I242" s="3" t="str">
        <f>"计算机与人工智能学院"</f>
        <v>计算机与人工智能学院</v>
      </c>
      <c r="J242" s="3" t="str">
        <f>"黄鹂"</f>
        <v>黄鹂</v>
      </c>
    </row>
    <row r="243" ht="48" spans="1:10">
      <c r="A243" s="3">
        <v>241</v>
      </c>
      <c r="B243" s="3" t="str">
        <f>"1210202Z1006"</f>
        <v>1210202Z1006</v>
      </c>
      <c r="C243" s="3" t="str">
        <f>"林珍梅"</f>
        <v>林珍梅</v>
      </c>
      <c r="D243" s="3" t="str">
        <f>"女"</f>
        <v>女</v>
      </c>
      <c r="E243" s="3" t="str">
        <f>"数理金融学"</f>
        <v>数理金融学</v>
      </c>
      <c r="F243" s="3" t="str">
        <f>"高等代数Ⅱ"</f>
        <v>高等代数Ⅱ</v>
      </c>
      <c r="G243" s="3" t="str">
        <f>"通识基础课"</f>
        <v>通识基础课</v>
      </c>
      <c r="H243" s="3" t="str">
        <f>"周三第1，2节{第1-17周}，周三第3节{第1-17周}"</f>
        <v>周三第1，2节{第1-17周}，周三第3节{第1-17周}</v>
      </c>
      <c r="I243" s="3" t="s">
        <v>11</v>
      </c>
      <c r="J243" s="3" t="str">
        <f>"林可"</f>
        <v>林可</v>
      </c>
    </row>
    <row r="244" ht="36" spans="1:10">
      <c r="A244" s="3">
        <v>242</v>
      </c>
      <c r="B244" s="3" t="str">
        <f>"223120100033"</f>
        <v>223120100033</v>
      </c>
      <c r="C244" s="3" t="str">
        <f>"钟清华"</f>
        <v>钟清华</v>
      </c>
      <c r="D244" s="3" t="str">
        <f>"女"</f>
        <v>女</v>
      </c>
      <c r="E244" s="3" t="str">
        <f>"管理科学与工程"</f>
        <v>管理科学与工程</v>
      </c>
      <c r="F244" s="3" t="str">
        <f>"药食同源数智管理"</f>
        <v>药食同源数智管理</v>
      </c>
      <c r="G244" s="3" t="str">
        <f>"通识选修课"</f>
        <v>通识选修课</v>
      </c>
      <c r="H244" s="3" t="str">
        <f>"周四第5，6，7节{第1-17周}"</f>
        <v>周四第5，6，7节{第1-17周}</v>
      </c>
      <c r="I244" s="3" t="str">
        <f>"管理科学与工程学院"</f>
        <v>管理科学与工程学院</v>
      </c>
      <c r="J244" s="3" t="str">
        <f>"帅青红"</f>
        <v>帅青红</v>
      </c>
    </row>
    <row r="245" ht="24" spans="1:10">
      <c r="A245" s="3">
        <v>243</v>
      </c>
      <c r="B245" s="3" t="str">
        <f>"1241202Z6002"</f>
        <v>1241202Z6002</v>
      </c>
      <c r="C245" s="3" t="str">
        <f>"牟秋睿"</f>
        <v>牟秋睿</v>
      </c>
      <c r="D245" s="3" t="str">
        <f>"女"</f>
        <v>女</v>
      </c>
      <c r="E245" s="3" t="str">
        <f>"财务管理"</f>
        <v>财务管理</v>
      </c>
      <c r="F245" s="3" t="str">
        <f>"高级财务会计（英）MOOC"</f>
        <v>高级财务会计（英）MOOC</v>
      </c>
      <c r="G245" s="3" t="str">
        <f>"慕课"</f>
        <v>慕课</v>
      </c>
      <c r="H245" s="3" t="str">
        <f>"2025年3-6月"</f>
        <v>2025年3-6月</v>
      </c>
      <c r="I245" s="3" t="str">
        <f>"会计学院"</f>
        <v>会计学院</v>
      </c>
      <c r="J245" s="3" t="str">
        <f>"王静"</f>
        <v>王静</v>
      </c>
    </row>
    <row r="246" ht="48" spans="1:10">
      <c r="A246" s="3">
        <v>244</v>
      </c>
      <c r="B246" s="3" t="str">
        <f>"1230701Z1001"</f>
        <v>1230701Z1001</v>
      </c>
      <c r="C246" s="3" t="str">
        <f>"李爱民"</f>
        <v>李爱民</v>
      </c>
      <c r="D246" s="3" t="str">
        <f>"男"</f>
        <v>男</v>
      </c>
      <c r="E246" s="3" t="str">
        <f>"人工智能理论与应用"</f>
        <v>人工智能理论与应用</v>
      </c>
      <c r="F246" s="3" t="str">
        <f>"计算机组成原理"</f>
        <v>计算机组成原理</v>
      </c>
      <c r="G246" s="3" t="str">
        <f>"大学科基础课"</f>
        <v>大学科基础课</v>
      </c>
      <c r="H246" s="3" t="str">
        <f>"周一第1，2节{第1-17周}，周一第3节{第1-17周}"</f>
        <v>周一第1，2节{第1-17周}，周一第3节{第1-17周}</v>
      </c>
      <c r="I246" s="3" t="s">
        <v>12</v>
      </c>
      <c r="J246" s="3" t="str">
        <f>"陈姚"</f>
        <v>陈姚</v>
      </c>
    </row>
    <row r="247" ht="48" spans="1:10">
      <c r="A247" s="3">
        <v>245</v>
      </c>
      <c r="B247" s="3" t="str">
        <f>"223020101023"</f>
        <v>223020101023</v>
      </c>
      <c r="C247" s="3" t="str">
        <f>"曹雅梅"</f>
        <v>曹雅梅</v>
      </c>
      <c r="D247" s="3" t="str">
        <f t="shared" ref="D247:D255" si="2">"女"</f>
        <v>女</v>
      </c>
      <c r="E247" s="3" t="str">
        <f>"政治经济学"</f>
        <v>政治经济学</v>
      </c>
      <c r="F247" s="3" t="str">
        <f>"政治经济学"</f>
        <v>政治经济学</v>
      </c>
      <c r="G247" s="3" t="str">
        <f>"学科基础课"</f>
        <v>学科基础课</v>
      </c>
      <c r="H247" s="3" t="str">
        <f>"周三第1，2节{第1-17周}，周三第3节{第1-17周}"</f>
        <v>周三第1，2节{第1-17周}，周三第3节{第1-17周}</v>
      </c>
      <c r="I247" s="3" t="str">
        <f>"经济学院"</f>
        <v>经济学院</v>
      </c>
      <c r="J247" s="3" t="str">
        <f>"刘子嘉"</f>
        <v>刘子嘉</v>
      </c>
    </row>
    <row r="248" ht="48" spans="1:10">
      <c r="A248" s="3">
        <v>246</v>
      </c>
      <c r="B248" s="3" t="str">
        <f>"1241202Z6005"</f>
        <v>1241202Z6005</v>
      </c>
      <c r="C248" s="3" t="str">
        <f>"郭安琪"</f>
        <v>郭安琪</v>
      </c>
      <c r="D248" s="3" t="str">
        <f t="shared" si="2"/>
        <v>女</v>
      </c>
      <c r="E248" s="3" t="str">
        <f>"财务管理"</f>
        <v>财务管理</v>
      </c>
      <c r="F248" s="3" t="str">
        <f>"会计学"</f>
        <v>会计学</v>
      </c>
      <c r="G248" s="3" t="str">
        <f>"专业核心课"</f>
        <v>专业核心课</v>
      </c>
      <c r="H248" s="3" t="str">
        <f>"周四第5，6节{第1-17周}，周四第7节{第1-17周}"</f>
        <v>周四第5，6节{第1-17周}，周四第7节{第1-17周}</v>
      </c>
      <c r="I248" s="3" t="str">
        <f>"会计学院"</f>
        <v>会计学院</v>
      </c>
      <c r="J248" s="3" t="str">
        <f>"胡宁"</f>
        <v>胡宁</v>
      </c>
    </row>
    <row r="249" ht="48" spans="1:10">
      <c r="A249" s="3">
        <v>247</v>
      </c>
      <c r="B249" s="3" t="str">
        <f>"2240202Z1002"</f>
        <v>2240202Z1002</v>
      </c>
      <c r="C249" s="3" t="str">
        <f>"马钰慧"</f>
        <v>马钰慧</v>
      </c>
      <c r="D249" s="3" t="str">
        <f t="shared" si="2"/>
        <v>女</v>
      </c>
      <c r="E249" s="3" t="str">
        <f>"数理金融学"</f>
        <v>数理金融学</v>
      </c>
      <c r="F249" s="3" t="str">
        <f>"数理统计"</f>
        <v>数理统计</v>
      </c>
      <c r="G249" s="3" t="str">
        <f>"大学科基础课"</f>
        <v>大学科基础课</v>
      </c>
      <c r="H249" s="3" t="str">
        <f>"周四第5，6节{第1-17周}，周四第7节{第1-17周}"</f>
        <v>周四第5，6节{第1-17周}，周四第7节{第1-17周}</v>
      </c>
      <c r="I249" s="3" t="s">
        <v>11</v>
      </c>
      <c r="J249" s="3" t="str">
        <f>"李绍文"</f>
        <v>李绍文</v>
      </c>
    </row>
    <row r="250" ht="48" spans="1:10">
      <c r="A250" s="3">
        <v>248</v>
      </c>
      <c r="B250" s="3" t="str">
        <f>"2230202Z1026"</f>
        <v>2230202Z1026</v>
      </c>
      <c r="C250" s="3" t="str">
        <f>"刘琼莲"</f>
        <v>刘琼莲</v>
      </c>
      <c r="D250" s="3" t="str">
        <f t="shared" si="2"/>
        <v>女</v>
      </c>
      <c r="E250" s="3" t="str">
        <f>"数理金融学"</f>
        <v>数理金融学</v>
      </c>
      <c r="F250" s="3" t="str">
        <f>"线性代数"</f>
        <v>线性代数</v>
      </c>
      <c r="G250" s="3" t="str">
        <f>"通识基础课"</f>
        <v>通识基础课</v>
      </c>
      <c r="H250" s="3" t="str">
        <f>"周四第7节{第1-17周}，周四第8，9节{第1-17周}"</f>
        <v>周四第7节{第1-17周}，周四第8，9节{第1-17周}</v>
      </c>
      <c r="I250" s="3" t="str">
        <f>"数学学院"</f>
        <v>数学学院</v>
      </c>
      <c r="J250" s="3" t="str">
        <f>"韩本三"</f>
        <v>韩本三</v>
      </c>
    </row>
    <row r="251" ht="24" spans="1:10">
      <c r="A251" s="3">
        <v>249</v>
      </c>
      <c r="B251" s="3" t="str">
        <f>"223030505006"</f>
        <v>223030505006</v>
      </c>
      <c r="C251" s="3" t="str">
        <f>"钟东瑜"</f>
        <v>钟东瑜</v>
      </c>
      <c r="D251" s="3" t="str">
        <f t="shared" si="2"/>
        <v>女</v>
      </c>
      <c r="E251" s="3" t="str">
        <f>"思想政治教育"</f>
        <v>思想政治教育</v>
      </c>
      <c r="F251" s="3" t="str">
        <f>"中国近现代史纲要"</f>
        <v>中国近现代史纲要</v>
      </c>
      <c r="G251" s="3" t="str">
        <f>"思想政治理论课"</f>
        <v>思想政治理论课</v>
      </c>
      <c r="H251" s="3" t="str">
        <f>"周三第8，9节{第1-17周}"</f>
        <v>周三第8，9节{第1-17周}</v>
      </c>
      <c r="I251" s="3" t="str">
        <f>"马克思主义学院"</f>
        <v>马克思主义学院</v>
      </c>
      <c r="J251" s="3" t="str">
        <f>"贾国雄"</f>
        <v>贾国雄</v>
      </c>
    </row>
    <row r="252" ht="48" spans="1:10">
      <c r="A252" s="3">
        <v>250</v>
      </c>
      <c r="B252" s="3" t="str">
        <f>"1240701Z1006"</f>
        <v>1240701Z1006</v>
      </c>
      <c r="C252" s="3" t="str">
        <f>"罗雪"</f>
        <v>罗雪</v>
      </c>
      <c r="D252" s="3" t="str">
        <f t="shared" si="2"/>
        <v>女</v>
      </c>
      <c r="E252" s="3" t="str">
        <f>"人工智能理论与应用"</f>
        <v>人工智能理论与应用</v>
      </c>
      <c r="F252" s="3" t="str">
        <f>"操作系统"</f>
        <v>操作系统</v>
      </c>
      <c r="G252" s="3" t="str">
        <f>"大学科基础课"</f>
        <v>大学科基础课</v>
      </c>
      <c r="H252" s="3" t="str">
        <f>"周一第5，6节{第1-17周}，周一第7节{第1-17周}"</f>
        <v>周一第5，6节{第1-17周}，周一第7节{第1-17周}</v>
      </c>
      <c r="I252" s="3" t="s">
        <v>12</v>
      </c>
      <c r="J252" s="3" t="str">
        <f>"陈姚"</f>
        <v>陈姚</v>
      </c>
    </row>
    <row r="253" spans="1:10">
      <c r="A253" s="3">
        <v>251</v>
      </c>
      <c r="B253" s="3" t="str">
        <f>"1240202J1003"</f>
        <v>1240202J1003</v>
      </c>
      <c r="C253" s="3" t="str">
        <f>"冷明艳"</f>
        <v>冷明艳</v>
      </c>
      <c r="D253" s="3" t="str">
        <f t="shared" si="2"/>
        <v>女</v>
      </c>
      <c r="E253" s="3" t="str">
        <f>"金融科技"</f>
        <v>金融科技</v>
      </c>
      <c r="F253" s="3" t="str">
        <f>"绿色金融MOOC"</f>
        <v>绿色金融MOOC</v>
      </c>
      <c r="G253" s="3" t="str">
        <f>"慕课"</f>
        <v>慕课</v>
      </c>
      <c r="H253" s="3" t="str">
        <f>"2025年3-6月"</f>
        <v>2025年3-6月</v>
      </c>
      <c r="I253" s="3" t="str">
        <f>"金融学院"</f>
        <v>金融学院</v>
      </c>
      <c r="J253" s="3" t="str">
        <f>"李志勇"</f>
        <v>李志勇</v>
      </c>
    </row>
    <row r="254" ht="36" spans="1:10">
      <c r="A254" s="3">
        <v>252</v>
      </c>
      <c r="B254" s="3" t="str">
        <f>"224071400021"</f>
        <v>224071400021</v>
      </c>
      <c r="C254" s="3" t="str">
        <f>"李铭扬"</f>
        <v>李铭扬</v>
      </c>
      <c r="D254" s="3" t="str">
        <f t="shared" si="2"/>
        <v>女</v>
      </c>
      <c r="E254" s="3" t="str">
        <f>"统计学"</f>
        <v>统计学</v>
      </c>
      <c r="F254" s="3" t="str">
        <f>"程序设计与python应用"</f>
        <v>程序设计与python应用</v>
      </c>
      <c r="G254" s="3" t="str">
        <f>"专业选修课"</f>
        <v>专业选修课</v>
      </c>
      <c r="H254" s="3" t="str">
        <f>"周三第10，11，12节{第1-17周}"</f>
        <v>周三第10，11，12节{第1-17周}</v>
      </c>
      <c r="I254" s="3" t="str">
        <f>"管理科学与工程学院"</f>
        <v>管理科学与工程学院</v>
      </c>
      <c r="J254" s="3" t="str">
        <f>"卫柯臻"</f>
        <v>卫柯臻</v>
      </c>
    </row>
    <row r="255" ht="48" spans="1:10">
      <c r="A255" s="3">
        <v>253</v>
      </c>
      <c r="B255" s="3" t="str">
        <f>"223020204110"</f>
        <v>223020204110</v>
      </c>
      <c r="C255" s="3" t="str">
        <f>"周家丹"</f>
        <v>周家丹</v>
      </c>
      <c r="D255" s="3" t="str">
        <f t="shared" si="2"/>
        <v>女</v>
      </c>
      <c r="E255" s="3" t="str">
        <f>"金融学"</f>
        <v>金融学</v>
      </c>
      <c r="F255" s="3" t="str">
        <f>"货币金融学"</f>
        <v>货币金融学</v>
      </c>
      <c r="G255" s="3" t="str">
        <f>"大学科基础课"</f>
        <v>大学科基础课</v>
      </c>
      <c r="H255" s="3" t="str">
        <f>"周五第5，6节{第1-17周}，周五第7节{第1-17周}"</f>
        <v>周五第5，6节{第1-17周}，周五第7节{第1-17周}</v>
      </c>
      <c r="I255" s="3" t="str">
        <f>"金融学院"</f>
        <v>金融学院</v>
      </c>
      <c r="J255" s="3" t="str">
        <f>"欧阳勇"</f>
        <v>欧阳勇</v>
      </c>
    </row>
    <row r="256" ht="48" spans="1:10">
      <c r="A256" s="3">
        <v>254</v>
      </c>
      <c r="B256" s="3" t="str">
        <f>"223081200006"</f>
        <v>223081200006</v>
      </c>
      <c r="C256" s="3" t="str">
        <f>"魏兵军"</f>
        <v>魏兵军</v>
      </c>
      <c r="D256" s="3" t="str">
        <f>"男"</f>
        <v>男</v>
      </c>
      <c r="E256" s="3" t="str">
        <f>"计算机科学与技术"</f>
        <v>计算机科学与技术</v>
      </c>
      <c r="F256" s="3" t="str">
        <f>"程序设计及应用（Python）"</f>
        <v>程序设计及应用（Python）</v>
      </c>
      <c r="G256" s="3" t="str">
        <f>"通识基础课"</f>
        <v>通识基础课</v>
      </c>
      <c r="H256" s="3" t="str">
        <f>"周一第5，6节{第1-17周}，周一第7节{第1-17周}"</f>
        <v>周一第5，6节{第1-17周}，周一第7节{第1-17周}</v>
      </c>
      <c r="I256" s="3" t="s">
        <v>12</v>
      </c>
      <c r="J256" s="3" t="str">
        <f>"薛飞"</f>
        <v>薛飞</v>
      </c>
    </row>
    <row r="257" ht="48" spans="1:10">
      <c r="A257" s="3">
        <v>255</v>
      </c>
      <c r="B257" s="3" t="str">
        <f>"222070100015"</f>
        <v>222070100015</v>
      </c>
      <c r="C257" s="3" t="str">
        <f>"李文新"</f>
        <v>李文新</v>
      </c>
      <c r="D257" s="3" t="str">
        <f>"男"</f>
        <v>男</v>
      </c>
      <c r="E257" s="3" t="str">
        <f>"数学"</f>
        <v>数学</v>
      </c>
      <c r="F257" s="3" t="str">
        <f>"高等代数Ⅱ"</f>
        <v>高等代数Ⅱ</v>
      </c>
      <c r="G257" s="3" t="str">
        <f>"通识基础课"</f>
        <v>通识基础课</v>
      </c>
      <c r="H257" s="3" t="str">
        <f>"周一第5，6节{第1-17周}，周一第7节{第1-17周}"</f>
        <v>周一第5，6节{第1-17周}，周一第7节{第1-17周}</v>
      </c>
      <c r="I257" s="3" t="s">
        <v>11</v>
      </c>
      <c r="J257" s="3" t="str">
        <f>"林可"</f>
        <v>林可</v>
      </c>
    </row>
    <row r="258" ht="36" spans="1:10">
      <c r="A258" s="3">
        <v>256</v>
      </c>
      <c r="B258" s="3" t="str">
        <f>"124071400003"</f>
        <v>124071400003</v>
      </c>
      <c r="C258" s="3" t="str">
        <f>"赵京京"</f>
        <v>赵京京</v>
      </c>
      <c r="D258" s="3" t="str">
        <f>"女"</f>
        <v>女</v>
      </c>
      <c r="E258" s="3" t="str">
        <f>"统计学"</f>
        <v>统计学</v>
      </c>
      <c r="F258" s="3" t="str">
        <f>"数理统计（理）"</f>
        <v>数理统计（理）</v>
      </c>
      <c r="G258" s="3" t="str">
        <f>"专业必修课"</f>
        <v>专业必修课</v>
      </c>
      <c r="H258" s="3" t="str">
        <f>"周二第10，11，12节{第1-17周}"</f>
        <v>周二第10，11，12节{第1-17周}</v>
      </c>
      <c r="I258" s="3" t="str">
        <f>"统计学院"</f>
        <v>统计学院</v>
      </c>
      <c r="J258" s="3" t="str">
        <f>"戴明伟"</f>
        <v>戴明伟</v>
      </c>
    </row>
    <row r="259" ht="48" spans="1:10">
      <c r="A259" s="3">
        <v>257</v>
      </c>
      <c r="B259" s="3" t="str">
        <f>"1231201Z5010"</f>
        <v>1231201Z5010</v>
      </c>
      <c r="C259" s="3" t="str">
        <f>"刘梦雨"</f>
        <v>刘梦雨</v>
      </c>
      <c r="D259" s="3" t="str">
        <f>"女"</f>
        <v>女</v>
      </c>
      <c r="E259" s="3" t="str">
        <f>"大数据管理"</f>
        <v>大数据管理</v>
      </c>
      <c r="F259" s="3" t="str">
        <f>"国家税收"</f>
        <v>国家税收</v>
      </c>
      <c r="G259" s="3" t="str">
        <f>"专业必修课"</f>
        <v>专业必修课</v>
      </c>
      <c r="H259" s="3" t="str">
        <f>"周一第5，6节{第1-17周}，周一第7节{第1-17周}"</f>
        <v>周一第5，6节{第1-17周}，周一第7节{第1-17周}</v>
      </c>
      <c r="I259" s="3" t="s">
        <v>13</v>
      </c>
      <c r="J259" s="3" t="str">
        <f>"郝晓薇"</f>
        <v>郝晓薇</v>
      </c>
    </row>
    <row r="260" ht="24" spans="1:10">
      <c r="A260" s="3">
        <v>258</v>
      </c>
      <c r="B260" s="3" t="str">
        <f>"123020204003"</f>
        <v>123020204003</v>
      </c>
      <c r="C260" s="3" t="str">
        <f>"韩逸凡"</f>
        <v>韩逸凡</v>
      </c>
      <c r="D260" s="3" t="str">
        <f>"男"</f>
        <v>男</v>
      </c>
      <c r="E260" s="3" t="str">
        <f>"金融学"</f>
        <v>金融学</v>
      </c>
      <c r="F260" s="3" t="str">
        <f>"Python应用基础MOOC"</f>
        <v>Python应用基础MOOC</v>
      </c>
      <c r="G260" s="3" t="str">
        <f>"慕课"</f>
        <v>慕课</v>
      </c>
      <c r="H260" s="3" t="str">
        <f>"2025年3-6月"</f>
        <v>2025年3-6月</v>
      </c>
      <c r="I260" s="3" t="str">
        <f>"管理科学与工程学院"</f>
        <v>管理科学与工程学院</v>
      </c>
      <c r="J260" s="3" t="str">
        <f>"谢志龙"</f>
        <v>谢志龙</v>
      </c>
    </row>
    <row r="261" ht="36" spans="1:10">
      <c r="A261" s="3">
        <v>259</v>
      </c>
      <c r="B261" s="3" t="str">
        <f>"123120203004"</f>
        <v>123120203004</v>
      </c>
      <c r="C261" s="3" t="str">
        <f>"冯萍"</f>
        <v>冯萍</v>
      </c>
      <c r="D261" s="3" t="str">
        <f>"女"</f>
        <v>女</v>
      </c>
      <c r="E261" s="3" t="str">
        <f>"旅游管理"</f>
        <v>旅游管理</v>
      </c>
      <c r="F261" s="3" t="str">
        <f>"程序设计与python应用"</f>
        <v>程序设计与python应用</v>
      </c>
      <c r="G261" s="3" t="str">
        <f>"通识基础课"</f>
        <v>通识基础课</v>
      </c>
      <c r="H261" s="3" t="str">
        <f>"周四第10，11，12节{第1-17周}"</f>
        <v>周四第10，11，12节{第1-17周}</v>
      </c>
      <c r="I261" s="3" t="str">
        <f>"工商管理学院"</f>
        <v>工商管理学院</v>
      </c>
      <c r="J261" s="3" t="str">
        <f>"彭博"</f>
        <v>彭博</v>
      </c>
    </row>
    <row r="262" spans="1:10">
      <c r="A262" s="3">
        <v>260</v>
      </c>
      <c r="B262" s="3" t="str">
        <f>"223020204051"</f>
        <v>223020204051</v>
      </c>
      <c r="C262" s="3" t="str">
        <f>"王雨"</f>
        <v>王雨</v>
      </c>
      <c r="D262" s="3" t="str">
        <f>"女"</f>
        <v>女</v>
      </c>
      <c r="E262" s="3" t="str">
        <f>"金融学"</f>
        <v>金融学</v>
      </c>
      <c r="F262" s="3" t="str">
        <f>"普惠金融MOOC"</f>
        <v>普惠金融MOOC</v>
      </c>
      <c r="G262" s="3" t="str">
        <f>"慕课"</f>
        <v>慕课</v>
      </c>
      <c r="H262" s="3" t="str">
        <f>"2025年3-6月"</f>
        <v>2025年3-6月</v>
      </c>
      <c r="I262" s="3" t="str">
        <f>"金融学院"</f>
        <v>金融学院</v>
      </c>
      <c r="J262" s="3" t="str">
        <f>"张晓玫"</f>
        <v>张晓玫</v>
      </c>
    </row>
    <row r="263" ht="48" spans="1:10">
      <c r="A263" s="3">
        <v>261</v>
      </c>
      <c r="B263" s="3" t="str">
        <f>"122020101002"</f>
        <v>122020101002</v>
      </c>
      <c r="C263" s="3" t="str">
        <f>"唐湘"</f>
        <v>唐湘</v>
      </c>
      <c r="D263" s="3" t="str">
        <f>"女"</f>
        <v>女</v>
      </c>
      <c r="E263" s="3" t="str">
        <f>"政治经济学"</f>
        <v>政治经济学</v>
      </c>
      <c r="F263" s="3" t="str">
        <f>"宏观经济学"</f>
        <v>宏观经济学</v>
      </c>
      <c r="G263" s="3" t="str">
        <f>"学科基础课"</f>
        <v>学科基础课</v>
      </c>
      <c r="H263" s="3" t="str">
        <f>"周一第5，6节{第1-17周}，周一第7节{第1-17周}"</f>
        <v>周一第5，6节{第1-17周}，周一第7节{第1-17周}</v>
      </c>
      <c r="I263" s="3" t="str">
        <f>"经济学院"</f>
        <v>经济学院</v>
      </c>
      <c r="J263" s="3" t="str">
        <f>"张晓舸"</f>
        <v>张晓舸</v>
      </c>
    </row>
    <row r="264" ht="48" spans="1:10">
      <c r="A264" s="3">
        <v>262</v>
      </c>
      <c r="B264" s="3" t="str">
        <f>"121020205004"</f>
        <v>121020205004</v>
      </c>
      <c r="C264" s="3" t="str">
        <f>"王小青"</f>
        <v>王小青</v>
      </c>
      <c r="D264" s="3" t="str">
        <f>"女"</f>
        <v>女</v>
      </c>
      <c r="E264" s="3" t="str">
        <f>"产业经济学"</f>
        <v>产业经济学</v>
      </c>
      <c r="F264" s="3" t="str">
        <f>"时间序列分析"</f>
        <v>时间序列分析</v>
      </c>
      <c r="G264" s="3" t="str">
        <f>"专业方向课"</f>
        <v>专业方向课</v>
      </c>
      <c r="H264" s="3" t="str">
        <f>"周五第1，2节{第1-17周}，周五第3节{第1-17周}"</f>
        <v>周五第1，2节{第1-17周}，周五第3节{第1-17周}</v>
      </c>
      <c r="I264" s="3" t="s">
        <v>11</v>
      </c>
      <c r="J264" s="3" t="str">
        <f>"林谦"</f>
        <v>林谦</v>
      </c>
    </row>
    <row r="265" ht="72" spans="1:10">
      <c r="A265" s="3">
        <v>263</v>
      </c>
      <c r="B265" s="3" t="str">
        <f>"223070100026"</f>
        <v>223070100026</v>
      </c>
      <c r="C265" s="3" t="str">
        <f>"王铭钰"</f>
        <v>王铭钰</v>
      </c>
      <c r="D265" s="3" t="str">
        <f>"女"</f>
        <v>女</v>
      </c>
      <c r="E265" s="3" t="str">
        <f>"数学"</f>
        <v>数学</v>
      </c>
      <c r="F265" s="3" t="str">
        <f>"高等数学Ⅱ"</f>
        <v>高等数学Ⅱ</v>
      </c>
      <c r="G265" s="3" t="str">
        <f>"通识基础课"</f>
        <v>通识基础课</v>
      </c>
      <c r="H265" s="3" t="str">
        <f>"周二第1，2节{第1-17周}，周四第1，2节{第1-17周}，周四第3节{第1-17周}"</f>
        <v>周二第1，2节{第1-17周}，周四第1，2节{第1-17周}，周四第3节{第1-17周}</v>
      </c>
      <c r="I265" s="3" t="s">
        <v>11</v>
      </c>
      <c r="J265" s="3" t="str">
        <f>"朱文莉"</f>
        <v>朱文莉</v>
      </c>
    </row>
    <row r="266" ht="24" spans="1:10">
      <c r="A266" s="3">
        <v>264</v>
      </c>
      <c r="B266" s="3" t="str">
        <f>"1240701Z1007"</f>
        <v>1240701Z1007</v>
      </c>
      <c r="C266" s="3" t="str">
        <f>"吴佳勉"</f>
        <v>吴佳勉</v>
      </c>
      <c r="D266" s="3" t="str">
        <f>"男"</f>
        <v>男</v>
      </c>
      <c r="E266" s="3" t="str">
        <f>"人工智能理论与应用"</f>
        <v>人工智能理论与应用</v>
      </c>
      <c r="F266" s="3" t="str">
        <f>"人工智能与现代科技"</f>
        <v>人工智能与现代科技</v>
      </c>
      <c r="G266" s="3" t="str">
        <f>"通识基础课"</f>
        <v>通识基础课</v>
      </c>
      <c r="H266" s="3" t="str">
        <f>"周五第8，9节{第1-17周}"</f>
        <v>周五第8，9节{第1-17周}</v>
      </c>
      <c r="I266" s="3" t="str">
        <f>"计算机与人工智能学院"</f>
        <v>计算机与人工智能学院</v>
      </c>
      <c r="J266" s="3" t="str">
        <f>"占求港"</f>
        <v>占求港</v>
      </c>
    </row>
    <row r="267" ht="36" spans="1:10">
      <c r="A267" s="3">
        <v>265</v>
      </c>
      <c r="B267" s="3" t="str">
        <f>"2230202J8007"</f>
        <v>2230202J8007</v>
      </c>
      <c r="C267" s="3" t="str">
        <f>"马靖凯"</f>
        <v>马靖凯</v>
      </c>
      <c r="D267" s="3" t="str">
        <f>"男"</f>
        <v>男</v>
      </c>
      <c r="E267" s="3" t="str">
        <f>"经济大数据分析"</f>
        <v>经济大数据分析</v>
      </c>
      <c r="F267" s="3" t="str">
        <f>"计量经济学"</f>
        <v>计量经济学</v>
      </c>
      <c r="G267" s="3" t="str">
        <f>"专业方向课"</f>
        <v>专业方向课</v>
      </c>
      <c r="H267" s="3" t="str">
        <f>"周三第10，11，12节{第1-17周}"</f>
        <v>周三第10，11，12节{第1-17周}</v>
      </c>
      <c r="I267" s="3" t="str">
        <f>"统计学院"</f>
        <v>统计学院</v>
      </c>
      <c r="J267" s="3" t="str">
        <f>"张尧钧"</f>
        <v>张尧钧</v>
      </c>
    </row>
    <row r="268" ht="36" spans="1:10">
      <c r="A268" s="3">
        <v>266</v>
      </c>
      <c r="B268" s="3" t="str">
        <f>"123020105001"</f>
        <v>123020105001</v>
      </c>
      <c r="C268" s="3" t="str">
        <f>"陈逸"</f>
        <v>陈逸</v>
      </c>
      <c r="D268" s="3" t="str">
        <f>"女"</f>
        <v>女</v>
      </c>
      <c r="E268" s="3" t="str">
        <f>"世界经济"</f>
        <v>世界经济</v>
      </c>
      <c r="F268" s="3" t="str">
        <f>"微观经济学"</f>
        <v>微观经济学</v>
      </c>
      <c r="G268" s="3" t="str">
        <f>"学科基础课"</f>
        <v>学科基础课</v>
      </c>
      <c r="H268" s="3" t="str">
        <f>"周二第10，11，12节{第1-17周}"</f>
        <v>周二第10，11，12节{第1-17周}</v>
      </c>
      <c r="I268" s="3" t="str">
        <f>"经济学院"</f>
        <v>经济学院</v>
      </c>
      <c r="J268" s="3" t="str">
        <f>"林熙"</f>
        <v>林熙</v>
      </c>
    </row>
    <row r="269" ht="24" spans="1:10">
      <c r="A269" s="3">
        <v>267</v>
      </c>
      <c r="B269" s="3" t="str">
        <f>"222081202013"</f>
        <v>222081202013</v>
      </c>
      <c r="C269" s="3" t="str">
        <f>"王向坤"</f>
        <v>王向坤</v>
      </c>
      <c r="D269" s="3" t="str">
        <f>"男"</f>
        <v>男</v>
      </c>
      <c r="E269" s="3" t="str">
        <f>"计算机软件与理论"</f>
        <v>计算机软件与理论</v>
      </c>
      <c r="F269" s="3" t="str">
        <f>"人工智能与现代科技"</f>
        <v>人工智能与现代科技</v>
      </c>
      <c r="G269" s="3" t="str">
        <f>"通识基础课"</f>
        <v>通识基础课</v>
      </c>
      <c r="H269" s="3" t="str">
        <f>"周五第1，2节{第1-17周}"</f>
        <v>周五第1，2节{第1-17周}</v>
      </c>
      <c r="I269" s="3" t="str">
        <f>"计算机与人工智能学院"</f>
        <v>计算机与人工智能学院</v>
      </c>
      <c r="J269" s="3" t="str">
        <f>"杨山田"</f>
        <v>杨山田</v>
      </c>
    </row>
    <row r="270" ht="72" spans="1:10">
      <c r="A270" s="3">
        <v>268</v>
      </c>
      <c r="B270" s="3" t="str">
        <f>"2240202Z1020"</f>
        <v>2240202Z1020</v>
      </c>
      <c r="C270" s="3" t="str">
        <f>"王思然"</f>
        <v>王思然</v>
      </c>
      <c r="D270" s="3" t="str">
        <f t="shared" ref="D270:D276" si="3">"女"</f>
        <v>女</v>
      </c>
      <c r="E270" s="3" t="str">
        <f>"数理金融学"</f>
        <v>数理金融学</v>
      </c>
      <c r="F270" s="3" t="str">
        <f>"高等数学Ⅱ"</f>
        <v>高等数学Ⅱ</v>
      </c>
      <c r="G270" s="3" t="str">
        <f>"通识基础课"</f>
        <v>通识基础课</v>
      </c>
      <c r="H270" s="3" t="str">
        <f>"周二第1，2节{第1-17周}，周四第5，6节{第1-17周}，周四第7节{第1-17周}"</f>
        <v>周二第1，2节{第1-17周}，周四第5，6节{第1-17周}，周四第7节{第1-17周}</v>
      </c>
      <c r="I270" s="3" t="s">
        <v>11</v>
      </c>
      <c r="J270" s="3" t="str">
        <f>"李楠"</f>
        <v>李楠</v>
      </c>
    </row>
    <row r="271" ht="72" spans="1:10">
      <c r="A271" s="3">
        <v>269</v>
      </c>
      <c r="B271" s="3" t="str">
        <f>"224070100026"</f>
        <v>224070100026</v>
      </c>
      <c r="C271" s="3" t="str">
        <f>"杨若樱"</f>
        <v>杨若樱</v>
      </c>
      <c r="D271" s="3" t="str">
        <f t="shared" si="3"/>
        <v>女</v>
      </c>
      <c r="E271" s="3" t="str">
        <f>"数学"</f>
        <v>数学</v>
      </c>
      <c r="F271" s="3" t="str">
        <f>"高等代数（英文）"</f>
        <v>高等代数（英文）</v>
      </c>
      <c r="G271" s="3" t="str">
        <f>"通识基础课"</f>
        <v>通识基础课</v>
      </c>
      <c r="H271" s="3" t="str">
        <f>"周三第3，4节{第1-17周}，周四第7节{第1-17周}，周四第8，9节{第1-17周}"</f>
        <v>周三第3，4节{第1-17周}，周四第7节{第1-17周}，周四第8，9节{第1-17周}</v>
      </c>
      <c r="I271" s="3" t="s">
        <v>11</v>
      </c>
      <c r="J271" s="3" t="str">
        <f>"吕品"</f>
        <v>吕品</v>
      </c>
    </row>
    <row r="272" ht="36" spans="1:10">
      <c r="A272" s="3">
        <v>270</v>
      </c>
      <c r="B272" s="3" t="str">
        <f>"222120201022"</f>
        <v>222120201022</v>
      </c>
      <c r="C272" s="3" t="str">
        <f>"汪荟"</f>
        <v>汪荟</v>
      </c>
      <c r="D272" s="3" t="str">
        <f t="shared" si="3"/>
        <v>女</v>
      </c>
      <c r="E272" s="3" t="str">
        <f>"会计学"</f>
        <v>会计学</v>
      </c>
      <c r="F272" s="3" t="str">
        <f>"会计学原理"</f>
        <v>会计学原理</v>
      </c>
      <c r="G272" s="3" t="str">
        <f>"学科基础课"</f>
        <v>学科基础课</v>
      </c>
      <c r="H272" s="3" t="str">
        <f>"周三第10，11，12节{第1-17周}"</f>
        <v>周三第10，11，12节{第1-17周}</v>
      </c>
      <c r="I272" s="3" t="str">
        <f>"会计学院"</f>
        <v>会计学院</v>
      </c>
      <c r="J272" s="3" t="str">
        <f>"任世驰"</f>
        <v>任世驰</v>
      </c>
    </row>
    <row r="273" ht="36" spans="1:10">
      <c r="A273" s="3">
        <v>271</v>
      </c>
      <c r="B273" s="3" t="str">
        <f>"222120201022"</f>
        <v>222120201022</v>
      </c>
      <c r="C273" s="3" t="str">
        <f>"汪荟"</f>
        <v>汪荟</v>
      </c>
      <c r="D273" s="3" t="str">
        <f t="shared" si="3"/>
        <v>女</v>
      </c>
      <c r="E273" s="3" t="str">
        <f>"会计学"</f>
        <v>会计学</v>
      </c>
      <c r="F273" s="3" t="str">
        <f>"会计学原理"</f>
        <v>会计学原理</v>
      </c>
      <c r="G273" s="3" t="str">
        <f>"学科基础课"</f>
        <v>学科基础课</v>
      </c>
      <c r="H273" s="3" t="str">
        <f>"周三第10，11，12节{第1-17周}"</f>
        <v>周三第10，11，12节{第1-17周}</v>
      </c>
      <c r="I273" s="3" t="str">
        <f>"会计学院"</f>
        <v>会计学院</v>
      </c>
      <c r="J273" s="3" t="str">
        <f>"任世驰"</f>
        <v>任世驰</v>
      </c>
    </row>
    <row r="274" ht="72" spans="1:10">
      <c r="A274" s="3">
        <v>272</v>
      </c>
      <c r="B274" s="3" t="str">
        <f>"2230202Z1013"</f>
        <v>2230202Z1013</v>
      </c>
      <c r="C274" s="3" t="str">
        <f>"董子溢"</f>
        <v>董子溢</v>
      </c>
      <c r="D274" s="3" t="str">
        <f t="shared" si="3"/>
        <v>女</v>
      </c>
      <c r="E274" s="3" t="str">
        <f>"数理金融学"</f>
        <v>数理金融学</v>
      </c>
      <c r="F274" s="3" t="str">
        <f>"高等数学Ⅱ"</f>
        <v>高等数学Ⅱ</v>
      </c>
      <c r="G274" s="3" t="str">
        <f>"通识基础课"</f>
        <v>通识基础课</v>
      </c>
      <c r="H274" s="3" t="str">
        <f>"周一第1，2节{第1-17周}，周一第3节{第1-17周}，周三第3，4节{第1-17周}"</f>
        <v>周一第1，2节{第1-17周}，周一第3节{第1-17周}，周三第3，4节{第1-17周}</v>
      </c>
      <c r="I274" s="3" t="str">
        <f>"数学学院"</f>
        <v>数学学院</v>
      </c>
      <c r="J274" s="3" t="str">
        <f>"张玉越"</f>
        <v>张玉越</v>
      </c>
    </row>
    <row r="275" ht="48" spans="1:10">
      <c r="A275" s="3">
        <v>273</v>
      </c>
      <c r="B275" s="3" t="str">
        <f>"1221201Z5002"</f>
        <v>1221201Z5002</v>
      </c>
      <c r="C275" s="3" t="str">
        <f>"黄钰云"</f>
        <v>黄钰云</v>
      </c>
      <c r="D275" s="3" t="str">
        <f t="shared" si="3"/>
        <v>女</v>
      </c>
      <c r="E275" s="3" t="str">
        <f>"大数据管理"</f>
        <v>大数据管理</v>
      </c>
      <c r="F275" s="3" t="str">
        <f>"线性代数"</f>
        <v>线性代数</v>
      </c>
      <c r="G275" s="3" t="str">
        <f>"通识基础课"</f>
        <v>通识基础课</v>
      </c>
      <c r="H275" s="3" t="str">
        <f>"周三第1，2节{第1-17周}，周三第3节{第1-17周}"</f>
        <v>周三第1，2节{第1-17周}，周三第3节{第1-17周}</v>
      </c>
      <c r="I275" s="3" t="s">
        <v>11</v>
      </c>
      <c r="J275" s="3" t="str">
        <f>"高雪梅"</f>
        <v>高雪梅</v>
      </c>
    </row>
    <row r="276" ht="24" spans="1:10">
      <c r="A276" s="3">
        <v>274</v>
      </c>
      <c r="B276" s="3" t="str">
        <f>"1221202Z6004"</f>
        <v>1221202Z6004</v>
      </c>
      <c r="C276" s="3" t="str">
        <f>"罗乐熙"</f>
        <v>罗乐熙</v>
      </c>
      <c r="D276" s="3" t="str">
        <f t="shared" si="3"/>
        <v>女</v>
      </c>
      <c r="E276" s="3" t="str">
        <f>"财务管理"</f>
        <v>财务管理</v>
      </c>
      <c r="F276" s="3" t="str">
        <f>"中级财务会计I（英）MOOC"</f>
        <v>中级财务会计I（英）MOOC</v>
      </c>
      <c r="G276" s="3" t="str">
        <f>"慕课"</f>
        <v>慕课</v>
      </c>
      <c r="H276" s="3" t="str">
        <f>"2025年3-6月"</f>
        <v>2025年3-6月</v>
      </c>
      <c r="I276" s="3" t="str">
        <f>"会计学院"</f>
        <v>会计学院</v>
      </c>
      <c r="J276" s="3" t="str">
        <f>"何力"</f>
        <v>何力</v>
      </c>
    </row>
    <row r="277" ht="24" spans="1:10">
      <c r="A277" s="3">
        <v>275</v>
      </c>
      <c r="B277" s="3" t="str">
        <f>"1240701Z1002"</f>
        <v>1240701Z1002</v>
      </c>
      <c r="C277" s="3" t="str">
        <f>"喻皓"</f>
        <v>喻皓</v>
      </c>
      <c r="D277" s="3" t="str">
        <f>"男"</f>
        <v>男</v>
      </c>
      <c r="E277" s="3" t="str">
        <f>"人工智能理论与应用"</f>
        <v>人工智能理论与应用</v>
      </c>
      <c r="F277" s="3" t="str">
        <f>"现代科技与人工智能"</f>
        <v>现代科技与人工智能</v>
      </c>
      <c r="G277" s="3" t="str">
        <f>"通识核心课"</f>
        <v>通识核心课</v>
      </c>
      <c r="H277" s="3" t="str">
        <f>"周四第1，2节{第1-17周}"</f>
        <v>周四第1，2节{第1-17周}</v>
      </c>
      <c r="I277" s="3" t="str">
        <f>"计算机与人工智能学院"</f>
        <v>计算机与人工智能学院</v>
      </c>
      <c r="J277" s="3" t="str">
        <f>"李永豪"</f>
        <v>李永豪</v>
      </c>
    </row>
    <row r="278" ht="24" spans="1:10">
      <c r="A278" s="3">
        <v>276</v>
      </c>
      <c r="B278" s="3" t="str">
        <f>"224081200013"</f>
        <v>224081200013</v>
      </c>
      <c r="C278" s="3" t="str">
        <f>"陈思源"</f>
        <v>陈思源</v>
      </c>
      <c r="D278" s="3" t="str">
        <f>"男"</f>
        <v>男</v>
      </c>
      <c r="E278" s="3" t="str">
        <f>"计算机科学与技术"</f>
        <v>计算机科学与技术</v>
      </c>
      <c r="F278" s="3" t="str">
        <f>"人工智能与现代科技"</f>
        <v>人工智能与现代科技</v>
      </c>
      <c r="G278" s="3" t="str">
        <f>"通识基础课"</f>
        <v>通识基础课</v>
      </c>
      <c r="H278" s="3" t="str">
        <f>"周一第8，9节{第1-17周}"</f>
        <v>周一第8，9节{第1-17周}</v>
      </c>
      <c r="I278" s="3" t="str">
        <f>"计算机与人工智能学院"</f>
        <v>计算机与人工智能学院</v>
      </c>
      <c r="J278" s="3" t="str">
        <f>"陈珍珠"</f>
        <v>陈珍珠</v>
      </c>
    </row>
    <row r="279" ht="36" spans="1:10">
      <c r="A279" s="3">
        <v>277</v>
      </c>
      <c r="B279" s="3" t="str">
        <f>"123071400002"</f>
        <v>123071400002</v>
      </c>
      <c r="C279" s="3" t="str">
        <f>"聂刘泉"</f>
        <v>聂刘泉</v>
      </c>
      <c r="D279" s="3" t="str">
        <f>"男"</f>
        <v>男</v>
      </c>
      <c r="E279" s="3" t="str">
        <f>"统计学"</f>
        <v>统计学</v>
      </c>
      <c r="F279" s="3" t="str">
        <f>"数据智能前沿"</f>
        <v>数据智能前沿</v>
      </c>
      <c r="G279" s="3" t="str">
        <f>"专业方向课"</f>
        <v>专业方向课</v>
      </c>
      <c r="H279" s="3" t="str">
        <f>"周二第10，11，12节{第1-17周}"</f>
        <v>周二第10，11，12节{第1-17周}</v>
      </c>
      <c r="I279" s="3" t="str">
        <f>"统计学院"</f>
        <v>统计学院</v>
      </c>
      <c r="J279" s="3" t="str">
        <f>"谭莹"</f>
        <v>谭莹</v>
      </c>
    </row>
    <row r="280" ht="48" spans="1:10">
      <c r="A280" s="3">
        <v>278</v>
      </c>
      <c r="B280" s="3" t="str">
        <f>"224070100027"</f>
        <v>224070100027</v>
      </c>
      <c r="C280" s="3" t="str">
        <f>"刘峻可"</f>
        <v>刘峻可</v>
      </c>
      <c r="D280" s="3" t="str">
        <f>"男"</f>
        <v>男</v>
      </c>
      <c r="E280" s="3" t="str">
        <f>"数学"</f>
        <v>数学</v>
      </c>
      <c r="F280" s="3" t="str">
        <f>"线性代数"</f>
        <v>线性代数</v>
      </c>
      <c r="G280" s="3" t="str">
        <f>"通识基础课"</f>
        <v>通识基础课</v>
      </c>
      <c r="H280" s="3" t="str">
        <f>"周三第5，6节{第1-17周}，周三第7节{第1-17周}"</f>
        <v>周三第5，6节{第1-17周}，周三第7节{第1-17周}</v>
      </c>
      <c r="I280" s="3" t="s">
        <v>11</v>
      </c>
      <c r="J280" s="3" t="str">
        <f>"张炜"</f>
        <v>张炜</v>
      </c>
    </row>
    <row r="281" ht="72" spans="1:10">
      <c r="A281" s="3">
        <v>279</v>
      </c>
      <c r="B281" s="3" t="str">
        <f>"224070100029"</f>
        <v>224070100029</v>
      </c>
      <c r="C281" s="3" t="str">
        <f>"杜星竹"</f>
        <v>杜星竹</v>
      </c>
      <c r="D281" s="3" t="str">
        <f>"女"</f>
        <v>女</v>
      </c>
      <c r="E281" s="3" t="str">
        <f>"数学"</f>
        <v>数学</v>
      </c>
      <c r="F281" s="3" t="str">
        <f>"高等数学Ⅱ"</f>
        <v>高等数学Ⅱ</v>
      </c>
      <c r="G281" s="3" t="str">
        <f>"通识基础课"</f>
        <v>通识基础课</v>
      </c>
      <c r="H281" s="3" t="str">
        <f>"周三第3，4节{第1-17周}，周五第1，2节{第1-17周}，周五第3节{第1-17周}"</f>
        <v>周三第3，4节{第1-17周}，周五第1，2节{第1-17周}，周五第3节{第1-17周}</v>
      </c>
      <c r="I281" s="3" t="s">
        <v>11</v>
      </c>
      <c r="J281" s="3" t="str">
        <f>"余喜生"</f>
        <v>余喜生</v>
      </c>
    </row>
    <row r="282" ht="48" spans="1:10">
      <c r="A282" s="3">
        <v>280</v>
      </c>
      <c r="B282" s="3" t="str">
        <f>"224070100004"</f>
        <v>224070100004</v>
      </c>
      <c r="C282" s="3" t="str">
        <f>"包成冬"</f>
        <v>包成冬</v>
      </c>
      <c r="D282" s="3" t="str">
        <f>"男"</f>
        <v>男</v>
      </c>
      <c r="E282" s="3" t="str">
        <f>"数学"</f>
        <v>数学</v>
      </c>
      <c r="F282" s="3" t="str">
        <f>"高等代数Ⅱ"</f>
        <v>高等代数Ⅱ</v>
      </c>
      <c r="G282" s="3" t="str">
        <f>"通识基础课"</f>
        <v>通识基础课</v>
      </c>
      <c r="H282" s="3" t="str">
        <f>"周三第1，2节{第1-17周}，周三第3节{第1-17周}"</f>
        <v>周三第1，2节{第1-17周}，周三第3节{第1-17周}</v>
      </c>
      <c r="I282" s="3" t="s">
        <v>11</v>
      </c>
      <c r="J282" s="3" t="str">
        <f>"杜彬彬"</f>
        <v>杜彬彬</v>
      </c>
    </row>
    <row r="283" ht="48" spans="1:10">
      <c r="A283" s="3">
        <v>281</v>
      </c>
      <c r="B283" s="3" t="str">
        <f>"2230202Z1002"</f>
        <v>2230202Z1002</v>
      </c>
      <c r="C283" s="3" t="str">
        <f>"成佳佳"</f>
        <v>成佳佳</v>
      </c>
      <c r="D283" s="3" t="str">
        <f>"女"</f>
        <v>女</v>
      </c>
      <c r="E283" s="3" t="str">
        <f>"数理金融学"</f>
        <v>数理金融学</v>
      </c>
      <c r="F283" s="3" t="str">
        <f>"概率论（理科）"</f>
        <v>概率论（理科）</v>
      </c>
      <c r="G283" s="3" t="str">
        <f>"通识基础课"</f>
        <v>通识基础课</v>
      </c>
      <c r="H283" s="3" t="str">
        <f>"周一第5，6节{第1-17周}，周二第3，4节{第1-17周}"</f>
        <v>周一第5，6节{第1-17周}，周二第3，4节{第1-17周}</v>
      </c>
      <c r="I283" s="3" t="s">
        <v>11</v>
      </c>
      <c r="J283" s="3" t="str">
        <f>"吴萌"</f>
        <v>吴萌</v>
      </c>
    </row>
    <row r="284" ht="48" spans="1:10">
      <c r="A284" s="3">
        <v>282</v>
      </c>
      <c r="B284" s="3" t="str">
        <f>"223020104022"</f>
        <v>223020104022</v>
      </c>
      <c r="C284" s="3" t="str">
        <f>"孙琦梦"</f>
        <v>孙琦梦</v>
      </c>
      <c r="D284" s="3" t="str">
        <f>"女"</f>
        <v>女</v>
      </c>
      <c r="E284" s="3" t="str">
        <f>"西方经济学"</f>
        <v>西方经济学</v>
      </c>
      <c r="F284" s="3" t="str">
        <f>"宏观经济学"</f>
        <v>宏观经济学</v>
      </c>
      <c r="G284" s="3" t="str">
        <f>"学科基础课"</f>
        <v>学科基础课</v>
      </c>
      <c r="H284" s="3" t="str">
        <f>"周五第5，6节{第1-17周}，周五第7节{第1-17周}"</f>
        <v>周五第5，6节{第1-17周}，周五第7节{第1-17周}</v>
      </c>
      <c r="I284" s="3" t="str">
        <f>"经济学院"</f>
        <v>经济学院</v>
      </c>
      <c r="J284" s="3" t="str">
        <f>"杨海涛"</f>
        <v>杨海涛</v>
      </c>
    </row>
    <row r="285" ht="48" spans="1:10">
      <c r="A285" s="3">
        <v>283</v>
      </c>
      <c r="B285" s="3" t="str">
        <f>"222120201025"</f>
        <v>222120201025</v>
      </c>
      <c r="C285" s="3" t="str">
        <f>"马艺璇"</f>
        <v>马艺璇</v>
      </c>
      <c r="D285" s="3" t="str">
        <f>"女"</f>
        <v>女</v>
      </c>
      <c r="E285" s="3" t="str">
        <f>"会计学"</f>
        <v>会计学</v>
      </c>
      <c r="F285" s="3" t="str">
        <f>"会计学原理"</f>
        <v>会计学原理</v>
      </c>
      <c r="G285" s="3" t="str">
        <f>"学科基础课"</f>
        <v>学科基础课</v>
      </c>
      <c r="H285" s="3" t="str">
        <f>"周五第5，6节{第1-17周}，周五第7节{第1-17周}"</f>
        <v>周五第5，6节{第1-17周}，周五第7节{第1-17周}</v>
      </c>
      <c r="I285" s="3" t="str">
        <f>"会计学院"</f>
        <v>会计学院</v>
      </c>
      <c r="J285" s="3" t="str">
        <f>"任世驰"</f>
        <v>任世驰</v>
      </c>
    </row>
    <row r="286" ht="48" spans="1:10">
      <c r="A286" s="3">
        <v>284</v>
      </c>
      <c r="B286" s="3" t="str">
        <f>"1230202J1002"</f>
        <v>1230202J1002</v>
      </c>
      <c r="C286" s="3" t="str">
        <f>"何雨盈"</f>
        <v>何雨盈</v>
      </c>
      <c r="D286" s="3" t="str">
        <f>"女"</f>
        <v>女</v>
      </c>
      <c r="E286" s="3" t="str">
        <f>"金融科技"</f>
        <v>金融科技</v>
      </c>
      <c r="F286" s="3" t="str">
        <f>"线性代数"</f>
        <v>线性代数</v>
      </c>
      <c r="G286" s="3" t="str">
        <f>"通识基础课"</f>
        <v>通识基础课</v>
      </c>
      <c r="H286" s="3" t="str">
        <f>"周四第7节{第1-17周}，周四第8，9节{第1-17周}"</f>
        <v>周四第7节{第1-17周}，周四第8，9节{第1-17周}</v>
      </c>
      <c r="I286" s="3" t="s">
        <v>11</v>
      </c>
      <c r="J286" s="3" t="str">
        <f>"高雪梅"</f>
        <v>高雪梅</v>
      </c>
    </row>
    <row r="287" ht="72" spans="1:10">
      <c r="A287" s="3">
        <v>285</v>
      </c>
      <c r="B287" s="3" t="str">
        <f>"223070100004"</f>
        <v>223070100004</v>
      </c>
      <c r="C287" s="3" t="str">
        <f>"赵晋杰"</f>
        <v>赵晋杰</v>
      </c>
      <c r="D287" s="3" t="str">
        <f>"女"</f>
        <v>女</v>
      </c>
      <c r="E287" s="3" t="str">
        <f>"数学"</f>
        <v>数学</v>
      </c>
      <c r="F287" s="3" t="str">
        <f>"高等数学Ⅱ"</f>
        <v>高等数学Ⅱ</v>
      </c>
      <c r="G287" s="3" t="str">
        <f>"通识基础课"</f>
        <v>通识基础课</v>
      </c>
      <c r="H287" s="3" t="str">
        <f>"周二第3，4节{第1-17周}，周四第5，6节{第1-17周}，周四第7节{第1-17周}"</f>
        <v>周二第3，4节{第1-17周}，周四第5，6节{第1-17周}，周四第7节{第1-17周}</v>
      </c>
      <c r="I287" s="3" t="s">
        <v>11</v>
      </c>
      <c r="J287" s="3" t="str">
        <f>"刘彩平"</f>
        <v>刘彩平</v>
      </c>
    </row>
    <row r="288" ht="96" spans="1:10">
      <c r="A288" s="3">
        <v>286</v>
      </c>
      <c r="B288" s="3" t="str">
        <f>"119020204017"</f>
        <v>119020204017</v>
      </c>
      <c r="C288" s="3" t="str">
        <f>"乐海波"</f>
        <v>乐海波</v>
      </c>
      <c r="D288" s="3" t="str">
        <f>"男"</f>
        <v>男</v>
      </c>
      <c r="E288" s="3" t="str">
        <f>"金融学"</f>
        <v>金融学</v>
      </c>
      <c r="F288" s="3" t="str">
        <f>"数学分析Ⅱ"</f>
        <v>数学分析Ⅱ</v>
      </c>
      <c r="G288" s="3" t="str">
        <f>"通识基础课"</f>
        <v>通识基础课</v>
      </c>
      <c r="H288" s="3" t="str">
        <f>"周二第1，2节{第1-17周}，周二第3节{第1-17周}，周三第5，6节{第1-17周}，周三第7节{第1-17周}"</f>
        <v>周二第1，2节{第1-17周}，周二第3节{第1-17周}，周三第5，6节{第1-17周}，周三第7节{第1-17周}</v>
      </c>
      <c r="I288" s="3" t="s">
        <v>11</v>
      </c>
      <c r="J288" s="3" t="str">
        <f>"陈小平"</f>
        <v>陈小平</v>
      </c>
    </row>
    <row r="289" ht="72" spans="1:10">
      <c r="A289" s="3">
        <v>287</v>
      </c>
      <c r="B289" s="3" t="str">
        <f>"2240202Z1019"</f>
        <v>2240202Z1019</v>
      </c>
      <c r="C289" s="3" t="str">
        <f>"王思齐"</f>
        <v>王思齐</v>
      </c>
      <c r="D289" s="3" t="str">
        <f>"女"</f>
        <v>女</v>
      </c>
      <c r="E289" s="3" t="str">
        <f>"数理金融学"</f>
        <v>数理金融学</v>
      </c>
      <c r="F289" s="3" t="str">
        <f>"高等数学Ⅱ"</f>
        <v>高等数学Ⅱ</v>
      </c>
      <c r="G289" s="3" t="str">
        <f>"通识基础课"</f>
        <v>通识基础课</v>
      </c>
      <c r="H289" s="3" t="str">
        <f>"周一第3，4节{第1-17周}，周三第5，6节{第1-17周}，周三第7节{第1-17周}"</f>
        <v>周一第3，4节{第1-17周}，周三第5，6节{第1-17周}，周三第7节{第1-17周}</v>
      </c>
      <c r="I289" s="3" t="s">
        <v>11</v>
      </c>
      <c r="J289" s="3" t="str">
        <f>"戴岱"</f>
        <v>戴岱</v>
      </c>
    </row>
    <row r="290" ht="48" spans="1:10">
      <c r="A290" s="3">
        <v>288</v>
      </c>
      <c r="B290" s="3" t="str">
        <f>"222070100008"</f>
        <v>222070100008</v>
      </c>
      <c r="C290" s="3" t="str">
        <f>"薛倩倩"</f>
        <v>薛倩倩</v>
      </c>
      <c r="D290" s="3" t="str">
        <f>"女"</f>
        <v>女</v>
      </c>
      <c r="E290" s="3" t="str">
        <f>"数学"</f>
        <v>数学</v>
      </c>
      <c r="F290" s="3" t="str">
        <f>"高等代数Ⅰ"</f>
        <v>高等代数Ⅰ</v>
      </c>
      <c r="G290" s="3" t="str">
        <f>"通识基础课"</f>
        <v>通识基础课</v>
      </c>
      <c r="H290" s="3" t="str">
        <f>"周二第3，4节{第1-17周}，周四第8，9节{第1-17周}"</f>
        <v>周二第3，4节{第1-17周}，周四第8，9节{第1-17周}</v>
      </c>
      <c r="I290" s="3" t="str">
        <f>"数学学院"</f>
        <v>数学学院</v>
      </c>
      <c r="J290" s="3" t="str">
        <f>"曾嵘"</f>
        <v>曾嵘</v>
      </c>
    </row>
    <row r="291" ht="36" spans="1:10">
      <c r="A291" s="3">
        <v>289</v>
      </c>
      <c r="B291" s="3" t="str">
        <f>"223020101005"</f>
        <v>223020101005</v>
      </c>
      <c r="C291" s="3" t="str">
        <f>"商蕴初"</f>
        <v>商蕴初</v>
      </c>
      <c r="D291" s="3" t="str">
        <f>"男"</f>
        <v>男</v>
      </c>
      <c r="E291" s="3" t="str">
        <f>"政治经济学"</f>
        <v>政治经济学</v>
      </c>
      <c r="F291" s="3" t="str">
        <f>"政治经济学"</f>
        <v>政治经济学</v>
      </c>
      <c r="G291" s="3" t="str">
        <f>"学科基础课"</f>
        <v>学科基础课</v>
      </c>
      <c r="H291" s="3" t="str">
        <f>"周三第10，11，12节{第1-17周}"</f>
        <v>周三第10，11，12节{第1-17周}</v>
      </c>
      <c r="I291" s="3" t="str">
        <f>"经济学院"</f>
        <v>经济学院</v>
      </c>
      <c r="J291" s="3" t="str">
        <f>"张航"</f>
        <v>张航</v>
      </c>
    </row>
    <row r="292" ht="48" spans="1:10">
      <c r="A292" s="3">
        <v>290</v>
      </c>
      <c r="B292" s="3" t="str">
        <f>"1231201Z5004"</f>
        <v>1231201Z5004</v>
      </c>
      <c r="C292" s="3" t="str">
        <f>"龚丽"</f>
        <v>龚丽</v>
      </c>
      <c r="D292" s="3" t="str">
        <f>"女"</f>
        <v>女</v>
      </c>
      <c r="E292" s="3" t="str">
        <f>"大数据管理"</f>
        <v>大数据管理</v>
      </c>
      <c r="F292" s="3" t="str">
        <f>"程序设计与python应用"</f>
        <v>程序设计与python应用</v>
      </c>
      <c r="G292" s="3" t="str">
        <f>"通识基础课"</f>
        <v>通识基础课</v>
      </c>
      <c r="H292" s="3" t="str">
        <f>"周一第1，2节{第1-17周}，周一第3节{第1-17周}"</f>
        <v>周一第1，2节{第1-17周}，周一第3节{第1-17周}</v>
      </c>
      <c r="I292" s="3" t="str">
        <f>"管理科学与工程学院"</f>
        <v>管理科学与工程学院</v>
      </c>
      <c r="J292" s="3" t="str">
        <f>"马丹"</f>
        <v>马丹</v>
      </c>
    </row>
    <row r="293" ht="36" spans="1:10">
      <c r="A293" s="3">
        <v>291</v>
      </c>
      <c r="B293" s="3" t="str">
        <f>"122071400006"</f>
        <v>122071400006</v>
      </c>
      <c r="C293" s="3" t="str">
        <f>"江自豪"</f>
        <v>江自豪</v>
      </c>
      <c r="D293" s="3" t="str">
        <f>"男"</f>
        <v>男</v>
      </c>
      <c r="E293" s="3" t="str">
        <f>"统计学"</f>
        <v>统计学</v>
      </c>
      <c r="F293" s="3" t="str">
        <f>"数理统计（理）"</f>
        <v>数理统计（理）</v>
      </c>
      <c r="G293" s="3" t="str">
        <f>"大学科基础课"</f>
        <v>大学科基础课</v>
      </c>
      <c r="H293" s="3" t="str">
        <f>"周二第10，11，12节{第1-17周}"</f>
        <v>周二第10，11，12节{第1-17周}</v>
      </c>
      <c r="I293" s="3" t="str">
        <f>"统计学院"</f>
        <v>统计学院</v>
      </c>
      <c r="J293" s="3" t="str">
        <f>"佘睿"</f>
        <v>佘睿</v>
      </c>
    </row>
    <row r="294" ht="72" spans="1:10">
      <c r="A294" s="3">
        <v>292</v>
      </c>
      <c r="B294" s="3" t="str">
        <f>"222020204136"</f>
        <v>222020204136</v>
      </c>
      <c r="C294" s="3" t="str">
        <f>"付子乾"</f>
        <v>付子乾</v>
      </c>
      <c r="D294" s="3" t="str">
        <f>"男"</f>
        <v>男</v>
      </c>
      <c r="E294" s="3" t="str">
        <f>"金融学"</f>
        <v>金融学</v>
      </c>
      <c r="F294" s="3" t="str">
        <f>"高等数学Ⅱ"</f>
        <v>高等数学Ⅱ</v>
      </c>
      <c r="G294" s="3" t="str">
        <f>"通识基础课"</f>
        <v>通识基础课</v>
      </c>
      <c r="H294" s="3" t="str">
        <f>"周二第3，4节{第1-17周}，周四第1，2节{第1-17周}，周四第3节{第1-17周}"</f>
        <v>周二第3，4节{第1-17周}，周四第1，2节{第1-17周}，周四第3节{第1-17周}</v>
      </c>
      <c r="I294" s="3" t="s">
        <v>11</v>
      </c>
      <c r="J294" s="3" t="str">
        <f>"吴静"</f>
        <v>吴静</v>
      </c>
    </row>
    <row r="295" ht="36" spans="1:10">
      <c r="A295" s="3">
        <v>293</v>
      </c>
      <c r="B295" s="3" t="str">
        <f>"120020209006"</f>
        <v>120020209006</v>
      </c>
      <c r="C295" s="3" t="str">
        <f>"刘奇波"</f>
        <v>刘奇波</v>
      </c>
      <c r="D295" s="3" t="str">
        <f>"男"</f>
        <v>男</v>
      </c>
      <c r="E295" s="3" t="str">
        <f>"数量经济学"</f>
        <v>数量经济学</v>
      </c>
      <c r="F295" s="3" t="str">
        <f>"统计学"</f>
        <v>统计学</v>
      </c>
      <c r="G295" s="3" t="str">
        <f>"大学科基础课"</f>
        <v>大学科基础课</v>
      </c>
      <c r="H295" s="3" t="str">
        <f>"周三第10，11，12节{第1-17周}"</f>
        <v>周三第10，11，12节{第1-17周}</v>
      </c>
      <c r="I295" s="3" t="str">
        <f>"统计学院"</f>
        <v>统计学院</v>
      </c>
      <c r="J295" s="3" t="str">
        <f>"何雅兴"</f>
        <v>何雅兴</v>
      </c>
    </row>
    <row r="296" ht="48" spans="1:10">
      <c r="A296" s="3">
        <v>294</v>
      </c>
      <c r="B296" s="3" t="str">
        <f>"223120100009"</f>
        <v>223120100009</v>
      </c>
      <c r="C296" s="3" t="str">
        <f>"杜欣洁"</f>
        <v>杜欣洁</v>
      </c>
      <c r="D296" s="3" t="str">
        <f t="shared" ref="D296:D302" si="4">"女"</f>
        <v>女</v>
      </c>
      <c r="E296" s="3" t="str">
        <f>"管理科学与工程"</f>
        <v>管理科学与工程</v>
      </c>
      <c r="F296" s="3" t="str">
        <f>"程序设计及应用（Python）"</f>
        <v>程序设计及应用（Python）</v>
      </c>
      <c r="G296" s="3" t="str">
        <f>"通识基础课"</f>
        <v>通识基础课</v>
      </c>
      <c r="H296" s="3" t="str">
        <f>"周二第1，2节{第1-17周}，周二第3节{第1-17周}"</f>
        <v>周二第1，2节{第1-17周}，周二第3节{第1-17周}</v>
      </c>
      <c r="I296" s="3" t="str">
        <f>"管理科学与工程学院"</f>
        <v>管理科学与工程学院</v>
      </c>
      <c r="J296" s="3" t="str">
        <f>"谢志龙"</f>
        <v>谢志龙</v>
      </c>
    </row>
    <row r="297" ht="48" spans="1:10">
      <c r="A297" s="3">
        <v>295</v>
      </c>
      <c r="B297" s="3" t="str">
        <f>"223020209001"</f>
        <v>223020209001</v>
      </c>
      <c r="C297" s="3" t="str">
        <f>"赵亦心"</f>
        <v>赵亦心</v>
      </c>
      <c r="D297" s="3" t="str">
        <f t="shared" si="4"/>
        <v>女</v>
      </c>
      <c r="E297" s="3" t="str">
        <f>"数量经济学"</f>
        <v>数量经济学</v>
      </c>
      <c r="F297" s="3" t="str">
        <f>"数理统计（理）"</f>
        <v>数理统计（理）</v>
      </c>
      <c r="G297" s="3" t="str">
        <f>"大学科基础课"</f>
        <v>大学科基础课</v>
      </c>
      <c r="H297" s="3" t="str">
        <f>"周四第5，6节{第1-17周}，周四第7节{第1-17周}"</f>
        <v>周四第5，6节{第1-17周}，周四第7节{第1-17周}</v>
      </c>
      <c r="I297" s="3" t="str">
        <f>"统计学院"</f>
        <v>统计学院</v>
      </c>
      <c r="J297" s="3" t="str">
        <f>"马昀蓓"</f>
        <v>马昀蓓</v>
      </c>
    </row>
    <row r="298" ht="48" spans="1:10">
      <c r="A298" s="3">
        <v>296</v>
      </c>
      <c r="B298" s="3" t="str">
        <f>"222070100016"</f>
        <v>222070100016</v>
      </c>
      <c r="C298" s="3" t="str">
        <f>"崔力元"</f>
        <v>崔力元</v>
      </c>
      <c r="D298" s="3" t="str">
        <f t="shared" si="4"/>
        <v>女</v>
      </c>
      <c r="E298" s="3" t="str">
        <f>"数学"</f>
        <v>数学</v>
      </c>
      <c r="F298" s="3" t="str">
        <f>"线性代数"</f>
        <v>线性代数</v>
      </c>
      <c r="G298" s="3" t="str">
        <f>"通识基础课"</f>
        <v>通识基础课</v>
      </c>
      <c r="H298" s="3" t="str">
        <f>"周三第5，6节{第1-17周}，周三第7节{第1-17周}"</f>
        <v>周三第5，6节{第1-17周}，周三第7节{第1-17周}</v>
      </c>
      <c r="I298" s="3" t="s">
        <v>11</v>
      </c>
      <c r="J298" s="3" t="str">
        <f>"李静"</f>
        <v>李静</v>
      </c>
    </row>
    <row r="299" ht="36" spans="1:10">
      <c r="A299" s="3">
        <v>297</v>
      </c>
      <c r="B299" s="3" t="str">
        <f>"224071400031"</f>
        <v>224071400031</v>
      </c>
      <c r="C299" s="3" t="str">
        <f>"马一丹"</f>
        <v>马一丹</v>
      </c>
      <c r="D299" s="3" t="str">
        <f t="shared" si="4"/>
        <v>女</v>
      </c>
      <c r="E299" s="3" t="str">
        <f>"统计学"</f>
        <v>统计学</v>
      </c>
      <c r="F299" s="3" t="str">
        <f>"统计学"</f>
        <v>统计学</v>
      </c>
      <c r="G299" s="3" t="str">
        <f>"大学科基础课"</f>
        <v>大学科基础课</v>
      </c>
      <c r="H299" s="3" t="str">
        <f>"周一第10，11，12节{第1-17周}"</f>
        <v>周一第10，11，12节{第1-17周}</v>
      </c>
      <c r="I299" s="3" t="str">
        <f>"统计学院"</f>
        <v>统计学院</v>
      </c>
      <c r="J299" s="3" t="str">
        <f>"李俭富"</f>
        <v>李俭富</v>
      </c>
    </row>
    <row r="300" ht="24" spans="1:10">
      <c r="A300" s="3">
        <v>298</v>
      </c>
      <c r="B300" s="3" t="str">
        <f>"2241202Z2022"</f>
        <v>2241202Z2022</v>
      </c>
      <c r="C300" s="3" t="str">
        <f>"雷念念"</f>
        <v>雷念念</v>
      </c>
      <c r="D300" s="3" t="str">
        <f t="shared" si="4"/>
        <v>女</v>
      </c>
      <c r="E300" s="3" t="str">
        <f>"人力资源管理"</f>
        <v>人力资源管理</v>
      </c>
      <c r="F300" s="3" t="str">
        <f>"绩效与薪酬管理MOOC"</f>
        <v>绩效与薪酬管理MOOC</v>
      </c>
      <c r="G300" s="3" t="str">
        <f>"慕课"</f>
        <v>慕课</v>
      </c>
      <c r="H300" s="3" t="str">
        <f>"2025年3-6月"</f>
        <v>2025年3-6月</v>
      </c>
      <c r="I300" s="3" t="str">
        <f>"工商管理学院"</f>
        <v>工商管理学院</v>
      </c>
      <c r="J300" s="3" t="str">
        <f>"郭志刚"</f>
        <v>郭志刚</v>
      </c>
    </row>
    <row r="301" ht="48" spans="1:10">
      <c r="A301" s="3">
        <v>299</v>
      </c>
      <c r="B301" s="3" t="str">
        <f>"1240201Z2003"</f>
        <v>1240201Z2003</v>
      </c>
      <c r="C301" s="3" t="str">
        <f>"骆雨晴"</f>
        <v>骆雨晴</v>
      </c>
      <c r="D301" s="3" t="str">
        <f t="shared" si="4"/>
        <v>女</v>
      </c>
      <c r="E301" s="3" t="str">
        <f>"发展经济学"</f>
        <v>发展经济学</v>
      </c>
      <c r="F301" s="3" t="str">
        <f>"宏观经济学"</f>
        <v>宏观经济学</v>
      </c>
      <c r="G301" s="3" t="str">
        <f>"学科基础课"</f>
        <v>学科基础课</v>
      </c>
      <c r="H301" s="3" t="str">
        <f>"周五第1，2节{第1-17周}，周五第3节{第1-17周}"</f>
        <v>周五第1，2节{第1-17周}，周五第3节{第1-17周}</v>
      </c>
      <c r="I301" s="3" t="str">
        <f>"经济学院"</f>
        <v>经济学院</v>
      </c>
      <c r="J301" s="3" t="str">
        <f>"黄俊兵"</f>
        <v>黄俊兵</v>
      </c>
    </row>
    <row r="302" ht="96" spans="1:10">
      <c r="A302" s="3">
        <v>300</v>
      </c>
      <c r="B302" s="3" t="str">
        <f>"223070100020"</f>
        <v>223070100020</v>
      </c>
      <c r="C302" s="3" t="str">
        <f>"谌浩航"</f>
        <v>谌浩航</v>
      </c>
      <c r="D302" s="3" t="str">
        <f t="shared" si="4"/>
        <v>女</v>
      </c>
      <c r="E302" s="3" t="str">
        <f>"数学"</f>
        <v>数学</v>
      </c>
      <c r="F302" s="3" t="str">
        <f>"数学分析Ⅱ（理科）"</f>
        <v>数学分析Ⅱ（理科）</v>
      </c>
      <c r="G302" s="3" t="str">
        <f>"通识基础课"</f>
        <v>通识基础课</v>
      </c>
      <c r="H302" s="3" t="str">
        <f>"周一第1，2节{第1-17周}，周一第3节{第1-17周}，周四第1，2节{第1-17周}，周四第3节{第1-17周}"</f>
        <v>周一第1，2节{第1-17周}，周一第3节{第1-17周}，周四第1，2节{第1-17周}，周四第3节{第1-17周}</v>
      </c>
      <c r="I302" s="3" t="s">
        <v>11</v>
      </c>
      <c r="J302" s="3" t="str">
        <f>"方敏"</f>
        <v>方敏</v>
      </c>
    </row>
    <row r="303" ht="48" spans="1:10">
      <c r="A303" s="3">
        <v>301</v>
      </c>
      <c r="B303" s="3" t="str">
        <f>"124071400005"</f>
        <v>124071400005</v>
      </c>
      <c r="C303" s="3" t="str">
        <f>"洪绍鹏"</f>
        <v>洪绍鹏</v>
      </c>
      <c r="D303" s="3" t="str">
        <f>"男"</f>
        <v>男</v>
      </c>
      <c r="E303" s="3" t="str">
        <f>"统计学"</f>
        <v>统计学</v>
      </c>
      <c r="F303" s="3" t="str">
        <f>"数理统计原理"</f>
        <v>数理统计原理</v>
      </c>
      <c r="G303" s="3" t="str">
        <f>"大学科基础课"</f>
        <v>大学科基础课</v>
      </c>
      <c r="H303" s="3" t="str">
        <f>"周三第5，6节{第1-17周}，周三第7节{第1-17周}"</f>
        <v>周三第5，6节{第1-17周}，周三第7节{第1-17周}</v>
      </c>
      <c r="I303" s="3" t="str">
        <f>"统计学院"</f>
        <v>统计学院</v>
      </c>
      <c r="J303" s="3" t="str">
        <f>"何婧"</f>
        <v>何婧</v>
      </c>
    </row>
    <row r="304" ht="48" spans="1:10">
      <c r="A304" s="3">
        <v>302</v>
      </c>
      <c r="B304" s="3" t="str">
        <f>"222081203015"</f>
        <v>222081203015</v>
      </c>
      <c r="C304" s="3" t="str">
        <f>"魏源"</f>
        <v>魏源</v>
      </c>
      <c r="D304" s="3" t="str">
        <f>"女"</f>
        <v>女</v>
      </c>
      <c r="E304" s="3" t="str">
        <f>"计算机应用技术"</f>
        <v>计算机应用技术</v>
      </c>
      <c r="F304" s="3" t="str">
        <f>"面向对象程序设计（JAVASE）"</f>
        <v>面向对象程序设计（JAVASE）</v>
      </c>
      <c r="G304" s="3" t="str">
        <f>"通识基础课"</f>
        <v>通识基础课</v>
      </c>
      <c r="H304" s="3" t="str">
        <f>"周一第1，2节{第1-17周}，周一第3节{第1-17周}"</f>
        <v>周一第1，2节{第1-17周}，周一第3节{第1-17周}</v>
      </c>
      <c r="I304" s="3" t="str">
        <f>"计算机与人工智能学院"</f>
        <v>计算机与人工智能学院</v>
      </c>
      <c r="J304" s="3" t="str">
        <f>"吴江"</f>
        <v>吴江</v>
      </c>
    </row>
    <row r="305" ht="48" spans="1:10">
      <c r="A305" s="3">
        <v>303</v>
      </c>
      <c r="B305" s="3" t="str">
        <f>"223070100001"</f>
        <v>223070100001</v>
      </c>
      <c r="C305" s="3" t="str">
        <f>"贾思琪"</f>
        <v>贾思琪</v>
      </c>
      <c r="D305" s="3" t="str">
        <f>"女"</f>
        <v>女</v>
      </c>
      <c r="E305" s="3" t="str">
        <f>"数学"</f>
        <v>数学</v>
      </c>
      <c r="F305" s="3" t="str">
        <f>"机器学习数学基础"</f>
        <v>机器学习数学基础</v>
      </c>
      <c r="G305" s="3" t="str">
        <f>"专业必修课"</f>
        <v>专业必修课</v>
      </c>
      <c r="H305" s="3" t="str">
        <f>"周四第5，6节{第1-17周}，周四第7节{第1-17周}"</f>
        <v>周四第5，6节{第1-17周}，周四第7节{第1-17周}</v>
      </c>
      <c r="I305" s="3" t="s">
        <v>11</v>
      </c>
      <c r="J305" s="3" t="str">
        <f>"王天明"</f>
        <v>王天明</v>
      </c>
    </row>
    <row r="306" ht="24" spans="1:10">
      <c r="A306" s="3">
        <v>304</v>
      </c>
      <c r="B306" s="3" t="str">
        <f>"223081200047"</f>
        <v>223081200047</v>
      </c>
      <c r="C306" s="3" t="str">
        <f>"王杨扬"</f>
        <v>王杨扬</v>
      </c>
      <c r="D306" s="3" t="str">
        <f>"男"</f>
        <v>男</v>
      </c>
      <c r="E306" s="3" t="str">
        <f>"计算机科学与技术"</f>
        <v>计算机科学与技术</v>
      </c>
      <c r="F306" s="3" t="str">
        <f>"人工智能与现代科技"</f>
        <v>人工智能与现代科技</v>
      </c>
      <c r="G306" s="3" t="str">
        <f>"通识基础课"</f>
        <v>通识基础课</v>
      </c>
      <c r="H306" s="3" t="str">
        <f>"周二第10，11节{第1-17周}"</f>
        <v>周二第10，11节{第1-17周}</v>
      </c>
      <c r="I306" s="3" t="str">
        <f>"计算机与人工智能学院"</f>
        <v>计算机与人工智能学院</v>
      </c>
      <c r="J306" s="3" t="str">
        <f>"张丹"</f>
        <v>张丹</v>
      </c>
    </row>
    <row r="307" ht="24" spans="1:10">
      <c r="A307" s="3">
        <v>305</v>
      </c>
      <c r="B307" s="3" t="str">
        <f>"222081203025"</f>
        <v>222081203025</v>
      </c>
      <c r="C307" s="3" t="str">
        <f>"曹磊"</f>
        <v>曹磊</v>
      </c>
      <c r="D307" s="3" t="str">
        <f>"男"</f>
        <v>男</v>
      </c>
      <c r="E307" s="3" t="str">
        <f>"计算机应用技术"</f>
        <v>计算机应用技术</v>
      </c>
      <c r="F307" s="3" t="str">
        <f>"人工智能与现代科技"</f>
        <v>人工智能与现代科技</v>
      </c>
      <c r="G307" s="3" t="str">
        <f>"通识基础课"</f>
        <v>通识基础课</v>
      </c>
      <c r="H307" s="3" t="str">
        <f>"周二第10，11节{第1-17周}"</f>
        <v>周二第10，11节{第1-17周}</v>
      </c>
      <c r="I307" s="3" t="str">
        <f>"计算机与人工智能学院"</f>
        <v>计算机与人工智能学院</v>
      </c>
      <c r="J307" s="3" t="str">
        <f>"张丹"</f>
        <v>张丹</v>
      </c>
    </row>
    <row r="308" ht="48" spans="1:10">
      <c r="A308" s="3">
        <v>306</v>
      </c>
      <c r="B308" s="3" t="str">
        <f>"123020104008"</f>
        <v>123020104008</v>
      </c>
      <c r="C308" s="3" t="str">
        <f>"孙若宸"</f>
        <v>孙若宸</v>
      </c>
      <c r="D308" s="3" t="str">
        <f>"男"</f>
        <v>男</v>
      </c>
      <c r="E308" s="3" t="str">
        <f>"西方经济学"</f>
        <v>西方经济学</v>
      </c>
      <c r="F308" s="3" t="str">
        <f>"宏观经济学（英）"</f>
        <v>宏观经济学（英）</v>
      </c>
      <c r="G308" s="3" t="str">
        <f>"学科基础课"</f>
        <v>学科基础课</v>
      </c>
      <c r="H308" s="3" t="str">
        <f>"周五第5，6节{第1-17周}，周五第7节{第1-17周}"</f>
        <v>周五第5，6节{第1-17周}，周五第7节{第1-17周}</v>
      </c>
      <c r="I308" s="3" t="str">
        <f>"经济与管理研究院"</f>
        <v>经济与管理研究院</v>
      </c>
      <c r="J308" s="3" t="str">
        <f>"栾梦娜"</f>
        <v>栾梦娜</v>
      </c>
    </row>
    <row r="309" ht="48" spans="1:10">
      <c r="A309" s="3">
        <v>307</v>
      </c>
      <c r="B309" s="3" t="str">
        <f>"1200202Z1002"</f>
        <v>1200202Z1002</v>
      </c>
      <c r="C309" s="3" t="str">
        <f>"张婷婷"</f>
        <v>张婷婷</v>
      </c>
      <c r="D309" s="3" t="str">
        <f>"女"</f>
        <v>女</v>
      </c>
      <c r="E309" s="3" t="str">
        <f>"数理金融学"</f>
        <v>数理金融学</v>
      </c>
      <c r="F309" s="3" t="str">
        <f>"线性代数"</f>
        <v>线性代数</v>
      </c>
      <c r="G309" s="3" t="str">
        <f>"通识基础课"</f>
        <v>通识基础课</v>
      </c>
      <c r="H309" s="3" t="str">
        <f>"周四第1，2节{第1-17周}，周四第3节{第1-17周}"</f>
        <v>周四第1，2节{第1-17周}，周四第3节{第1-17周}</v>
      </c>
      <c r="I309" s="3" t="s">
        <v>11</v>
      </c>
      <c r="J309" s="3" t="str">
        <f>"李静"</f>
        <v>李静</v>
      </c>
    </row>
    <row r="310" ht="72" spans="1:10">
      <c r="A310" s="3">
        <v>308</v>
      </c>
      <c r="B310" s="3" t="str">
        <f>"223070100011"</f>
        <v>223070100011</v>
      </c>
      <c r="C310" s="3" t="str">
        <f>"张丹"</f>
        <v>张丹</v>
      </c>
      <c r="D310" s="3" t="str">
        <f>"女"</f>
        <v>女</v>
      </c>
      <c r="E310" s="3" t="str">
        <f>"数学"</f>
        <v>数学</v>
      </c>
      <c r="F310" s="3" t="str">
        <f>"高等数学Ⅱ"</f>
        <v>高等数学Ⅱ</v>
      </c>
      <c r="G310" s="3" t="str">
        <f>"通识基础课"</f>
        <v>通识基础课</v>
      </c>
      <c r="H310" s="3" t="str">
        <f>"周一第1，2节{第1-17周}，周三第1，2节{第1-17周}，周三第3节{第1-17周}"</f>
        <v>周一第1，2节{第1-17周}，周三第1，2节{第1-17周}，周三第3节{第1-17周}</v>
      </c>
      <c r="I310" s="3" t="s">
        <v>11</v>
      </c>
      <c r="J310" s="3" t="str">
        <f>"戴岱"</f>
        <v>戴岱</v>
      </c>
    </row>
    <row r="311" spans="1:10">
      <c r="A311" s="3">
        <v>309</v>
      </c>
      <c r="B311" s="3" t="str">
        <f>"1230202Z7005"</f>
        <v>1230202Z7005</v>
      </c>
      <c r="C311" s="3" t="str">
        <f>"任家慧"</f>
        <v>任家慧</v>
      </c>
      <c r="D311" s="3" t="str">
        <f>"女"</f>
        <v>女</v>
      </c>
      <c r="E311" s="3" t="str">
        <f>"保险学"</f>
        <v>保险学</v>
      </c>
      <c r="F311" s="3" t="str">
        <f>"保险财务会计MOOC"</f>
        <v>保险财务会计MOOC</v>
      </c>
      <c r="G311" s="3" t="str">
        <f>"慕课"</f>
        <v>慕课</v>
      </c>
      <c r="H311" s="3" t="str">
        <f>"2025年3-6月"</f>
        <v>2025年3-6月</v>
      </c>
      <c r="I311" s="3" t="str">
        <f>"金融学院"</f>
        <v>金融学院</v>
      </c>
      <c r="J311" s="3" t="str">
        <f>"李洪"</f>
        <v>李洪</v>
      </c>
    </row>
    <row r="312" ht="48" spans="1:10">
      <c r="A312" s="3">
        <v>310</v>
      </c>
      <c r="B312" s="3" t="str">
        <f>"223020104007"</f>
        <v>223020104007</v>
      </c>
      <c r="C312" s="3" t="str">
        <f>"李瑞茜"</f>
        <v>李瑞茜</v>
      </c>
      <c r="D312" s="3" t="str">
        <f>"女"</f>
        <v>女</v>
      </c>
      <c r="E312" s="3" t="str">
        <f>"西方经济学"</f>
        <v>西方经济学</v>
      </c>
      <c r="F312" s="3" t="str">
        <f>"微观经济学"</f>
        <v>微观经济学</v>
      </c>
      <c r="G312" s="3" t="str">
        <f>"学科基础课"</f>
        <v>学科基础课</v>
      </c>
      <c r="H312" s="3" t="str">
        <f>"周二第1，2节{第1-17周}，周二第3节{第1-17周}"</f>
        <v>周二第1，2节{第1-17周}，周二第3节{第1-17周}</v>
      </c>
      <c r="I312" s="3" t="str">
        <f>"经济学院"</f>
        <v>经济学院</v>
      </c>
      <c r="J312" s="3" t="str">
        <f>"王湛"</f>
        <v>王湛</v>
      </c>
    </row>
    <row r="313" ht="48" spans="1:10">
      <c r="A313" s="3">
        <v>311</v>
      </c>
      <c r="B313" s="3" t="str">
        <f>"122020204054"</f>
        <v>122020204054</v>
      </c>
      <c r="C313" s="3" t="str">
        <f>"岳琦"</f>
        <v>岳琦</v>
      </c>
      <c r="D313" s="3" t="str">
        <f>"男"</f>
        <v>男</v>
      </c>
      <c r="E313" s="3" t="str">
        <f>"金融学"</f>
        <v>金融学</v>
      </c>
      <c r="F313" s="3" t="str">
        <f>"程序设计及应用（Python）"</f>
        <v>程序设计及应用（Python）</v>
      </c>
      <c r="G313" s="3" t="str">
        <f>"通识基础课"</f>
        <v>通识基础课</v>
      </c>
      <c r="H313" s="3" t="str">
        <f>"周四第1，2节{第1-17周}，周四第3节{第1-17周}"</f>
        <v>周四第1，2节{第1-17周}，周四第3节{第1-17周}</v>
      </c>
      <c r="I313" s="3" t="str">
        <f>"计算机与人工智能学院"</f>
        <v>计算机与人工智能学院</v>
      </c>
      <c r="J313" s="3" t="str">
        <f>"张英"</f>
        <v>张英</v>
      </c>
    </row>
    <row r="314" ht="48" spans="1:10">
      <c r="A314" s="3">
        <v>312</v>
      </c>
      <c r="B314" s="3" t="str">
        <f>"224120100030"</f>
        <v>224120100030</v>
      </c>
      <c r="C314" s="3" t="str">
        <f>"韩静"</f>
        <v>韩静</v>
      </c>
      <c r="D314" s="3" t="str">
        <f t="shared" ref="D314:D320" si="5">"女"</f>
        <v>女</v>
      </c>
      <c r="E314" s="3" t="str">
        <f>"管理科学与工程"</f>
        <v>管理科学与工程</v>
      </c>
      <c r="F314" s="3" t="str">
        <f>"数据库原理与应用"</f>
        <v>数据库原理与应用</v>
      </c>
      <c r="G314" s="3" t="str">
        <f>"专业必修课"</f>
        <v>专业必修课</v>
      </c>
      <c r="H314" s="3" t="str">
        <f>"周四第5，6节{第1-17周}，周四第7节{第1-17周}"</f>
        <v>周四第5，6节{第1-17周}，周四第7节{第1-17周}</v>
      </c>
      <c r="I314" s="3" t="str">
        <f>"管理科学与工程学院"</f>
        <v>管理科学与工程学院</v>
      </c>
      <c r="J314" s="3" t="str">
        <f>"马丹"</f>
        <v>马丹</v>
      </c>
    </row>
    <row r="315" ht="36" spans="1:10">
      <c r="A315" s="3">
        <v>313</v>
      </c>
      <c r="B315" s="3" t="str">
        <f>"122020204009"</f>
        <v>122020204009</v>
      </c>
      <c r="C315" s="3" t="str">
        <f>"李钰琪"</f>
        <v>李钰琪</v>
      </c>
      <c r="D315" s="3" t="str">
        <f t="shared" si="5"/>
        <v>女</v>
      </c>
      <c r="E315" s="3" t="str">
        <f>"金融学"</f>
        <v>金融学</v>
      </c>
      <c r="F315" s="3" t="str">
        <f>"程序设计与python应用"</f>
        <v>程序设计与python应用</v>
      </c>
      <c r="G315" s="3" t="str">
        <f>"专业选修课"</f>
        <v>专业选修课</v>
      </c>
      <c r="H315" s="3" t="str">
        <f>"周二第10，11，12节{第1-17周}"</f>
        <v>周二第10，11，12节{第1-17周}</v>
      </c>
      <c r="I315" s="3" t="str">
        <f>"管理科学与工程学院"</f>
        <v>管理科学与工程学院</v>
      </c>
      <c r="J315" s="3" t="str">
        <f>"卫柯臻"</f>
        <v>卫柯臻</v>
      </c>
    </row>
    <row r="316" ht="48" spans="1:10">
      <c r="A316" s="3">
        <v>314</v>
      </c>
      <c r="B316" s="3" t="str">
        <f>"124120201005"</f>
        <v>124120201005</v>
      </c>
      <c r="C316" s="3" t="str">
        <f>"陆溢"</f>
        <v>陆溢</v>
      </c>
      <c r="D316" s="3" t="str">
        <f t="shared" si="5"/>
        <v>女</v>
      </c>
      <c r="E316" s="3" t="str">
        <f>"会计学"</f>
        <v>会计学</v>
      </c>
      <c r="F316" s="3" t="str">
        <f>"会计学"</f>
        <v>会计学</v>
      </c>
      <c r="G316" s="3" t="str">
        <f>"学科基础课"</f>
        <v>学科基础课</v>
      </c>
      <c r="H316" s="3" t="str">
        <f>"周四第5，6节{第1-17周}，周四第7节{第1-17周}"</f>
        <v>周四第5，6节{第1-17周}，周四第7节{第1-17周}</v>
      </c>
      <c r="I316" s="3" t="str">
        <f>"会计学院"</f>
        <v>会计学院</v>
      </c>
      <c r="J316" s="3" t="str">
        <f>"许楠"</f>
        <v>许楠</v>
      </c>
    </row>
    <row r="317" ht="96" spans="1:10">
      <c r="A317" s="3">
        <v>315</v>
      </c>
      <c r="B317" s="3" t="str">
        <f>"123020204013"</f>
        <v>123020204013</v>
      </c>
      <c r="C317" s="3" t="str">
        <f>"李桂鋆"</f>
        <v>李桂鋆</v>
      </c>
      <c r="D317" s="3" t="str">
        <f t="shared" si="5"/>
        <v>女</v>
      </c>
      <c r="E317" s="3" t="str">
        <f>"金融学"</f>
        <v>金融学</v>
      </c>
      <c r="F317" s="3" t="str">
        <f>"数学分析Ⅱ"</f>
        <v>数学分析Ⅱ</v>
      </c>
      <c r="G317" s="3" t="str">
        <f>"通识基础课"</f>
        <v>通识基础课</v>
      </c>
      <c r="H317" s="3" t="str">
        <f>"周二第1，2节{第1-17周}，周二第3节{第1-17周}，周四第5，6节{第1-17周}，周四第7节{第1-17周}"</f>
        <v>周二第1，2节{第1-17周}，周二第3节{第1-17周}，周四第5，6节{第1-17周}，周四第7节{第1-17周}</v>
      </c>
      <c r="I317" s="3" t="s">
        <v>11</v>
      </c>
      <c r="J317" s="3" t="str">
        <f>"邓汝良"</f>
        <v>邓汝良</v>
      </c>
    </row>
    <row r="318" ht="48" spans="1:10">
      <c r="A318" s="3">
        <v>316</v>
      </c>
      <c r="B318" s="3" t="str">
        <f>"223020204145"</f>
        <v>223020204145</v>
      </c>
      <c r="C318" s="3" t="str">
        <f>"袁子涵"</f>
        <v>袁子涵</v>
      </c>
      <c r="D318" s="3" t="str">
        <f t="shared" si="5"/>
        <v>女</v>
      </c>
      <c r="E318" s="3" t="str">
        <f>"金融学"</f>
        <v>金融学</v>
      </c>
      <c r="F318" s="3" t="str">
        <f>"货币金融学"</f>
        <v>货币金融学</v>
      </c>
      <c r="G318" s="3" t="str">
        <f>"大学科基础课"</f>
        <v>大学科基础课</v>
      </c>
      <c r="H318" s="3" t="str">
        <f>"周一第1，2节{第1-17周}，周一第3节{第1-17周}"</f>
        <v>周一第1，2节{第1-17周}，周一第3节{第1-17周}</v>
      </c>
      <c r="I318" s="3" t="str">
        <f>"金融学院"</f>
        <v>金融学院</v>
      </c>
      <c r="J318" s="3" t="str">
        <f>"陈懋龙"</f>
        <v>陈懋龙</v>
      </c>
    </row>
    <row r="319" ht="84" spans="1:10">
      <c r="A319" s="3">
        <v>317</v>
      </c>
      <c r="B319" s="3" t="str">
        <f>"223070100018"</f>
        <v>223070100018</v>
      </c>
      <c r="C319" s="3" t="str">
        <f>"岳苏"</f>
        <v>岳苏</v>
      </c>
      <c r="D319" s="3" t="str">
        <f t="shared" si="5"/>
        <v>女</v>
      </c>
      <c r="E319" s="3" t="str">
        <f>"数学"</f>
        <v>数学</v>
      </c>
      <c r="F319" s="3" t="str">
        <f>"数学分析Ⅱ"</f>
        <v>数学分析Ⅱ</v>
      </c>
      <c r="G319" s="3" t="str">
        <f>"通识基础课"</f>
        <v>通识基础课</v>
      </c>
      <c r="H319" s="3" t="str">
        <f>"周二第10，11，12节{第1-17周}，周四第1，2节{第1-17周}，周四第3节{第1-17周}"</f>
        <v>周二第10，11，12节{第1-17周}，周四第1，2节{第1-17周}，周四第3节{第1-17周}</v>
      </c>
      <c r="I319" s="3" t="s">
        <v>11</v>
      </c>
      <c r="J319" s="3" t="str">
        <f>"李涛"</f>
        <v>李涛</v>
      </c>
    </row>
    <row r="320" spans="1:10">
      <c r="A320" s="3">
        <v>318</v>
      </c>
      <c r="B320" s="3" t="str">
        <f>"223020204025"</f>
        <v>223020204025</v>
      </c>
      <c r="C320" s="3" t="str">
        <f>"吴小红"</f>
        <v>吴小红</v>
      </c>
      <c r="D320" s="3" t="str">
        <f t="shared" si="5"/>
        <v>女</v>
      </c>
      <c r="E320" s="3" t="str">
        <f>"金融学"</f>
        <v>金融学</v>
      </c>
      <c r="F320" s="3" t="str">
        <f>"投资学MOOC"</f>
        <v>投资学MOOC</v>
      </c>
      <c r="G320" s="3" t="str">
        <f>"慕课"</f>
        <v>慕课</v>
      </c>
      <c r="H320" s="3" t="str">
        <f>"2025年3-6月"</f>
        <v>2025年3-6月</v>
      </c>
      <c r="I320" s="3" t="str">
        <f>"金融学院"</f>
        <v>金融学院</v>
      </c>
      <c r="J320" s="3" t="str">
        <f>"夏潆焱"</f>
        <v>夏潆焱</v>
      </c>
    </row>
    <row r="321" ht="24" spans="1:10">
      <c r="A321" s="3">
        <v>319</v>
      </c>
      <c r="B321" s="3" t="str">
        <f>"1221202Z3001"</f>
        <v>1221202Z3001</v>
      </c>
      <c r="C321" s="3" t="str">
        <f>"陈乐行"</f>
        <v>陈乐行</v>
      </c>
      <c r="D321" s="3" t="str">
        <f>"男"</f>
        <v>男</v>
      </c>
      <c r="E321" s="3" t="str">
        <f>"经济信息技术及管理"</f>
        <v>经济信息技术及管理</v>
      </c>
      <c r="F321" s="3" t="str">
        <f>"人工智能与现代科技"</f>
        <v>人工智能与现代科技</v>
      </c>
      <c r="G321" s="3" t="str">
        <f>"通识基础课"</f>
        <v>通识基础课</v>
      </c>
      <c r="H321" s="3" t="str">
        <f>"周三第8，9节{第1-17周}"</f>
        <v>周三第8，9节{第1-17周}</v>
      </c>
      <c r="I321" s="3" t="str">
        <f>"计算机与人工智能学院"</f>
        <v>计算机与人工智能学院</v>
      </c>
      <c r="J321" s="3" t="str">
        <f>"邓烨"</f>
        <v>邓烨</v>
      </c>
    </row>
    <row r="322" ht="48" spans="1:10">
      <c r="A322" s="3">
        <v>320</v>
      </c>
      <c r="B322" s="3" t="str">
        <f>"121020209003"</f>
        <v>121020209003</v>
      </c>
      <c r="C322" s="3" t="str">
        <f>"田振中"</f>
        <v>田振中</v>
      </c>
      <c r="D322" s="3" t="str">
        <f>"男"</f>
        <v>男</v>
      </c>
      <c r="E322" s="3" t="str">
        <f>"数量经济学"</f>
        <v>数量经济学</v>
      </c>
      <c r="F322" s="3" t="str">
        <f>"程序设计及应用（Python）"</f>
        <v>程序设计及应用（Python）</v>
      </c>
      <c r="G322" s="3" t="str">
        <f>"通识基础课"</f>
        <v>通识基础课</v>
      </c>
      <c r="H322" s="3" t="str">
        <f>"周四第5，6节{第1-17周}，周四第7节{第1-17周}"</f>
        <v>周四第5，6节{第1-17周}，周四第7节{第1-17周}</v>
      </c>
      <c r="I322" s="3" t="str">
        <f>"计算机与人工智能学院"</f>
        <v>计算机与人工智能学院</v>
      </c>
      <c r="J322" s="3" t="str">
        <f>"张英"</f>
        <v>张英</v>
      </c>
    </row>
    <row r="323" ht="36" spans="1:10">
      <c r="A323" s="3">
        <v>321</v>
      </c>
      <c r="B323" s="3" t="str">
        <f>"224071400022"</f>
        <v>224071400022</v>
      </c>
      <c r="C323" s="3" t="str">
        <f>"徐女媛"</f>
        <v>徐女媛</v>
      </c>
      <c r="D323" s="3" t="str">
        <f>"女"</f>
        <v>女</v>
      </c>
      <c r="E323" s="3" t="str">
        <f>"统计学"</f>
        <v>统计学</v>
      </c>
      <c r="F323" s="3" t="str">
        <f>"机器学习与数据挖掘"</f>
        <v>机器学习与数据挖掘</v>
      </c>
      <c r="G323" s="3" t="str">
        <f>"专业方向课"</f>
        <v>专业方向课</v>
      </c>
      <c r="H323" s="3" t="str">
        <f>"周四第10，11，12节{第1-17周}"</f>
        <v>周四第10，11，12节{第1-17周}</v>
      </c>
      <c r="I323" s="3" t="str">
        <f>"统计学院"</f>
        <v>统计学院</v>
      </c>
      <c r="J323" s="3" t="str">
        <f>"邓蔚"</f>
        <v>邓蔚</v>
      </c>
    </row>
    <row r="324" ht="36" spans="1:10">
      <c r="A324" s="3">
        <v>322</v>
      </c>
      <c r="B324" s="3" t="str">
        <f>"1221201Z5004"</f>
        <v>1221201Z5004</v>
      </c>
      <c r="C324" s="3" t="str">
        <f>"吴美君"</f>
        <v>吴美君</v>
      </c>
      <c r="D324" s="3" t="str">
        <f>"女"</f>
        <v>女</v>
      </c>
      <c r="E324" s="3" t="str">
        <f>"大数据管理"</f>
        <v>大数据管理</v>
      </c>
      <c r="F324" s="3" t="str">
        <f>"程序设计及应用（Python）"</f>
        <v>程序设计及应用（Python）</v>
      </c>
      <c r="G324" s="3" t="str">
        <f>"通识基础课"</f>
        <v>通识基础课</v>
      </c>
      <c r="H324" s="3" t="str">
        <f>"周一第10，11，12节{第1-17周}"</f>
        <v>周一第10，11，12节{第1-17周}</v>
      </c>
      <c r="I324" s="3" t="str">
        <f>"计算机与人工智能学院"</f>
        <v>计算机与人工智能学院</v>
      </c>
      <c r="J324" s="3" t="str">
        <f>"陈蓓"</f>
        <v>陈蓓</v>
      </c>
    </row>
    <row r="325" ht="96" spans="1:10">
      <c r="A325" s="3">
        <v>323</v>
      </c>
      <c r="B325" s="3" t="str">
        <f>"123070100002"</f>
        <v>123070100002</v>
      </c>
      <c r="C325" s="3" t="str">
        <f>"陈博"</f>
        <v>陈博</v>
      </c>
      <c r="D325" s="3" t="str">
        <f>"男"</f>
        <v>男</v>
      </c>
      <c r="E325" s="3" t="str">
        <f>"数学"</f>
        <v>数学</v>
      </c>
      <c r="F325" s="3" t="str">
        <f>"数学分析Ⅱ"</f>
        <v>数学分析Ⅱ</v>
      </c>
      <c r="G325" s="3" t="str">
        <f>"通识基础课"</f>
        <v>通识基础课</v>
      </c>
      <c r="H325" s="3" t="str">
        <f>"周二第1，2节{第1-17周}，周二第3节{第1-17周}，周四第5，6节{第1-17周}，周四第7节{第1-17周}"</f>
        <v>周二第1，2节{第1-17周}，周二第3节{第1-17周}，周四第5，6节{第1-17周}，周四第7节{第1-17周}</v>
      </c>
      <c r="I325" s="3" t="s">
        <v>11</v>
      </c>
      <c r="J325" s="3" t="str">
        <f>"李涛"</f>
        <v>李涛</v>
      </c>
    </row>
    <row r="326" spans="1:10">
      <c r="A326" s="3">
        <v>324</v>
      </c>
      <c r="B326" s="3" t="str">
        <f>"1230202Z6002"</f>
        <v>1230202Z6002</v>
      </c>
      <c r="C326" s="3" t="str">
        <f>"王鸿梓"</f>
        <v>王鸿梓</v>
      </c>
      <c r="D326" s="3" t="str">
        <f t="shared" ref="D326:D332" si="6">"女"</f>
        <v>女</v>
      </c>
      <c r="E326" s="3" t="str">
        <f>"税收学"</f>
        <v>税收学</v>
      </c>
      <c r="F326" s="3" t="str">
        <f>"税收筹划MOOC"</f>
        <v>税收筹划MOOC</v>
      </c>
      <c r="G326" s="3" t="str">
        <f>"慕课"</f>
        <v>慕课</v>
      </c>
      <c r="H326" s="3" t="str">
        <f>"2025年3-6月"</f>
        <v>2025年3-6月</v>
      </c>
      <c r="I326" s="3" t="str">
        <f>"财政税务学院"</f>
        <v>财政税务学院</v>
      </c>
      <c r="J326" s="3" t="str">
        <f>"刘蓉"</f>
        <v>刘蓉</v>
      </c>
    </row>
    <row r="327" ht="36" spans="1:10">
      <c r="A327" s="3">
        <v>325</v>
      </c>
      <c r="B327" s="3" t="str">
        <f>"1230701Z1003"</f>
        <v>1230701Z1003</v>
      </c>
      <c r="C327" s="3" t="str">
        <f>"曹雪梅"</f>
        <v>曹雪梅</v>
      </c>
      <c r="D327" s="3" t="str">
        <f t="shared" si="6"/>
        <v>女</v>
      </c>
      <c r="E327" s="3" t="str">
        <f>"人工智能理论与应用"</f>
        <v>人工智能理论与应用</v>
      </c>
      <c r="F327" s="3" t="str">
        <f>"博弈论"</f>
        <v>博弈论</v>
      </c>
      <c r="G327" s="3" t="str">
        <f>"专业方向课"</f>
        <v>专业方向课</v>
      </c>
      <c r="H327" s="3" t="str">
        <f>"周一第10，11，12节{第1-17周}"</f>
        <v>周一第10，11，12节{第1-17周}</v>
      </c>
      <c r="I327" s="3" t="str">
        <f>"计算机与人工智能学院"</f>
        <v>计算机与人工智能学院</v>
      </c>
      <c r="J327" s="3" t="str">
        <f>"欧阳小草"</f>
        <v>欧阳小草</v>
      </c>
    </row>
    <row r="328" ht="24" spans="1:10">
      <c r="A328" s="3">
        <v>326</v>
      </c>
      <c r="B328" s="3" t="str">
        <f>"1221202Z5001"</f>
        <v>1221202Z5001</v>
      </c>
      <c r="C328" s="3" t="str">
        <f>"袁川鸿"</f>
        <v>袁川鸿</v>
      </c>
      <c r="D328" s="3" t="str">
        <f t="shared" si="6"/>
        <v>女</v>
      </c>
      <c r="E328" s="3" t="str">
        <f>"市场营销管理"</f>
        <v>市场营销管理</v>
      </c>
      <c r="F328" s="3" t="str">
        <f>"市场营销学MOOC"</f>
        <v>市场营销学MOOC</v>
      </c>
      <c r="G328" s="3" t="str">
        <f>"慕课"</f>
        <v>慕课</v>
      </c>
      <c r="H328" s="3" t="str">
        <f>"2025年3-6月"</f>
        <v>2025年3-6月</v>
      </c>
      <c r="I328" s="3" t="str">
        <f>"工商管理学院"</f>
        <v>工商管理学院</v>
      </c>
      <c r="J328" s="3" t="str">
        <f>"白璇"</f>
        <v>白璇</v>
      </c>
    </row>
    <row r="329" ht="72" spans="1:10">
      <c r="A329" s="3">
        <v>327</v>
      </c>
      <c r="B329" s="3" t="str">
        <f>"222070100002"</f>
        <v>222070100002</v>
      </c>
      <c r="C329" s="3" t="str">
        <f>"俞孟君"</f>
        <v>俞孟君</v>
      </c>
      <c r="D329" s="3" t="str">
        <f t="shared" si="6"/>
        <v>女</v>
      </c>
      <c r="E329" s="3" t="str">
        <f>"数学"</f>
        <v>数学</v>
      </c>
      <c r="F329" s="3" t="str">
        <f>"高等数学Ⅱ"</f>
        <v>高等数学Ⅱ</v>
      </c>
      <c r="G329" s="3" t="str">
        <f>"通识基础课"</f>
        <v>通识基础课</v>
      </c>
      <c r="H329" s="3" t="str">
        <f>"周二第3，4节{第1-17周}，周四第5，6节{第1-17周}，周四第7节{第1-17周}"</f>
        <v>周二第3，4节{第1-17周}，周四第5，6节{第1-17周}，周四第7节{第1-17周}</v>
      </c>
      <c r="I329" s="3" t="s">
        <v>11</v>
      </c>
      <c r="J329" s="3" t="str">
        <f>"李凤英"</f>
        <v>李凤英</v>
      </c>
    </row>
    <row r="330" ht="48" spans="1:10">
      <c r="A330" s="3">
        <v>328</v>
      </c>
      <c r="B330" s="3" t="str">
        <f>"1241201Z5006"</f>
        <v>1241201Z5006</v>
      </c>
      <c r="C330" s="3" t="str">
        <f>"叶芸杉"</f>
        <v>叶芸杉</v>
      </c>
      <c r="D330" s="3" t="str">
        <f t="shared" si="6"/>
        <v>女</v>
      </c>
      <c r="E330" s="3" t="str">
        <f>"大数据管理"</f>
        <v>大数据管理</v>
      </c>
      <c r="F330" s="3" t="str">
        <f>"算法分析与设计"</f>
        <v>算法分析与设计</v>
      </c>
      <c r="G330" s="3" t="str">
        <f>"专业必修课"</f>
        <v>专业必修课</v>
      </c>
      <c r="H330" s="3" t="str">
        <f>"周四第1，2节{第1-17周}，周四第3节{第1-17周}"</f>
        <v>周四第1，2节{第1-17周}，周四第3节{第1-17周}</v>
      </c>
      <c r="I330" s="3" t="str">
        <f>"计算机与人工智能学院"</f>
        <v>计算机与人工智能学院</v>
      </c>
      <c r="J330" s="3" t="str">
        <f>"施龙"</f>
        <v>施龙</v>
      </c>
    </row>
    <row r="331" ht="48" spans="1:10">
      <c r="A331" s="3">
        <v>329</v>
      </c>
      <c r="B331" s="3" t="str">
        <f>"222081202005"</f>
        <v>222081202005</v>
      </c>
      <c r="C331" s="3" t="str">
        <f>"苏中惠"</f>
        <v>苏中惠</v>
      </c>
      <c r="D331" s="3" t="str">
        <f t="shared" si="6"/>
        <v>女</v>
      </c>
      <c r="E331" s="3" t="str">
        <f>"计算机软件与理论"</f>
        <v>计算机软件与理论</v>
      </c>
      <c r="F331" s="3" t="str">
        <f>"人工智能与现代科技"</f>
        <v>人工智能与现代科技</v>
      </c>
      <c r="G331" s="3" t="str">
        <f>"通识基础课"</f>
        <v>通识基础课</v>
      </c>
      <c r="H331" s="3" t="str">
        <f>"周五第6节{第1-17周}，周五第7节{第1-17周}"</f>
        <v>周五第6节{第1-17周}，周五第7节{第1-17周}</v>
      </c>
      <c r="I331" s="3" t="str">
        <f>"计算机与人工智能学院"</f>
        <v>计算机与人工智能学院</v>
      </c>
      <c r="J331" s="3" t="str">
        <f>"吕新昱"</f>
        <v>吕新昱</v>
      </c>
    </row>
    <row r="332" ht="36" spans="1:10">
      <c r="A332" s="3">
        <v>330</v>
      </c>
      <c r="B332" s="3" t="str">
        <f>"1231201Z5006"</f>
        <v>1231201Z5006</v>
      </c>
      <c r="C332" s="3" t="str">
        <f>"李妍"</f>
        <v>李妍</v>
      </c>
      <c r="D332" s="3" t="str">
        <f t="shared" si="6"/>
        <v>女</v>
      </c>
      <c r="E332" s="3" t="str">
        <f>"大数据管理"</f>
        <v>大数据管理</v>
      </c>
      <c r="F332" s="3" t="str">
        <f>"程序设计与python应用"</f>
        <v>程序设计与python应用</v>
      </c>
      <c r="G332" s="3" t="str">
        <f>"通识基础课"</f>
        <v>通识基础课</v>
      </c>
      <c r="H332" s="3" t="str">
        <f>"周三第10，11，12节{第1-17周}"</f>
        <v>周三第10，11，12节{第1-17周}</v>
      </c>
      <c r="I332" s="3" t="str">
        <f>"管理科学与工程学院"</f>
        <v>管理科学与工程学院</v>
      </c>
      <c r="J332" s="3" t="str">
        <f>"李瑾坤"</f>
        <v>李瑾坤</v>
      </c>
    </row>
    <row r="333" spans="1:10">
      <c r="A333" s="3">
        <v>331</v>
      </c>
      <c r="B333" s="3" t="str">
        <f>"122020101005"</f>
        <v>122020101005</v>
      </c>
      <c r="C333" s="3" t="str">
        <f>"关文晋"</f>
        <v>关文晋</v>
      </c>
      <c r="D333" s="3" t="str">
        <f>"男"</f>
        <v>男</v>
      </c>
      <c r="E333" s="3" t="str">
        <f>"政治经济学"</f>
        <v>政治经济学</v>
      </c>
      <c r="F333" s="3" t="str">
        <f>"中级宏观经济学MOOC"</f>
        <v>中级宏观经济学MOOC</v>
      </c>
      <c r="G333" s="3" t="str">
        <f>"慕课"</f>
        <v>慕课</v>
      </c>
      <c r="H333" s="3" t="str">
        <f>"2025年3-6月"</f>
        <v>2025年3-6月</v>
      </c>
      <c r="I333" s="3" t="str">
        <f>"经济学院"</f>
        <v>经济学院</v>
      </c>
      <c r="J333" s="3" t="str">
        <f>"陈师"</f>
        <v>陈师</v>
      </c>
    </row>
    <row r="334" ht="24" spans="1:10">
      <c r="A334" s="3">
        <v>332</v>
      </c>
      <c r="B334" s="3" t="str">
        <f>"1211202Z3002"</f>
        <v>1211202Z3002</v>
      </c>
      <c r="C334" s="3" t="str">
        <f>"徐徐"</f>
        <v>徐徐</v>
      </c>
      <c r="D334" s="3" t="str">
        <f>"女"</f>
        <v>女</v>
      </c>
      <c r="E334" s="3" t="str">
        <f>"经济信息技术及管理"</f>
        <v>经济信息技术及管理</v>
      </c>
      <c r="F334" s="3" t="str">
        <f>"综合能力训练（ERP模拟经营沙盘）MOOC"</f>
        <v>综合能力训练（ERP模拟经营沙盘）MOOC</v>
      </c>
      <c r="G334" s="3" t="str">
        <f>"慕课"</f>
        <v>慕课</v>
      </c>
      <c r="H334" s="3" t="str">
        <f>"2025年3-6月"</f>
        <v>2025年3-6月</v>
      </c>
      <c r="I334" s="3" t="str">
        <f>"会计学院"</f>
        <v>会计学院</v>
      </c>
      <c r="J334" s="3" t="str">
        <f>"邹燕"</f>
        <v>邹燕</v>
      </c>
    </row>
    <row r="335" ht="48" spans="1:10">
      <c r="A335" s="3">
        <v>333</v>
      </c>
      <c r="B335" s="3" t="str">
        <f>"1210202Z1002"</f>
        <v>1210202Z1002</v>
      </c>
      <c r="C335" s="3" t="str">
        <f>"吴皓斐"</f>
        <v>吴皓斐</v>
      </c>
      <c r="D335" s="3" t="str">
        <f>"男"</f>
        <v>男</v>
      </c>
      <c r="E335" s="3" t="str">
        <f>"数理金融学"</f>
        <v>数理金融学</v>
      </c>
      <c r="F335" s="3" t="str">
        <f>"线性代数"</f>
        <v>线性代数</v>
      </c>
      <c r="G335" s="3" t="str">
        <f>"专业选修课"</f>
        <v>专业选修课</v>
      </c>
      <c r="H335" s="3" t="str">
        <f>"周一第5，6节{第1-17周}，周一第7节{第1-17周}"</f>
        <v>周一第5，6节{第1-17周}，周一第7节{第1-17周}</v>
      </c>
      <c r="I335" s="3" t="s">
        <v>11</v>
      </c>
      <c r="J335" s="3" t="str">
        <f>"杨文昇"</f>
        <v>杨文昇</v>
      </c>
    </row>
    <row r="336" ht="48" spans="1:10">
      <c r="A336" s="3">
        <v>334</v>
      </c>
      <c r="B336" s="3" t="str">
        <f>"222070100021"</f>
        <v>222070100021</v>
      </c>
      <c r="C336" s="3" t="str">
        <f>"徐丹"</f>
        <v>徐丹</v>
      </c>
      <c r="D336" s="3" t="str">
        <f>"女"</f>
        <v>女</v>
      </c>
      <c r="E336" s="3" t="str">
        <f>"数学"</f>
        <v>数学</v>
      </c>
      <c r="F336" s="3" t="str">
        <f>"数学建模与数学实验"</f>
        <v>数学建模与数学实验</v>
      </c>
      <c r="G336" s="3" t="str">
        <f>"专业方向课"</f>
        <v>专业方向课</v>
      </c>
      <c r="H336" s="3" t="str">
        <f>"周二第1，2节{第1-17周}，周二第3节{第1-17周}"</f>
        <v>周二第1，2节{第1-17周}，周二第3节{第1-17周}</v>
      </c>
      <c r="I336" s="3" t="s">
        <v>11</v>
      </c>
      <c r="J336" s="3" t="str">
        <f>"孙云龙"</f>
        <v>孙云龙</v>
      </c>
    </row>
    <row r="337" ht="72" spans="1:10">
      <c r="A337" s="3">
        <v>335</v>
      </c>
      <c r="B337" s="3" t="str">
        <f>"2230202Z1003"</f>
        <v>2230202Z1003</v>
      </c>
      <c r="C337" s="3" t="str">
        <f>"郑祎丹"</f>
        <v>郑祎丹</v>
      </c>
      <c r="D337" s="3" t="str">
        <f>"女"</f>
        <v>女</v>
      </c>
      <c r="E337" s="3" t="str">
        <f>"数理金融学"</f>
        <v>数理金融学</v>
      </c>
      <c r="F337" s="3" t="str">
        <f>"高等数学Ⅱ"</f>
        <v>高等数学Ⅱ</v>
      </c>
      <c r="G337" s="3" t="str">
        <f>"通识基础课"</f>
        <v>通识基础课</v>
      </c>
      <c r="H337" s="3" t="str">
        <f>"周二第1，2节{第1-17周}，周四第5，6节{第1-17周}，周四第7节{第1-17周}"</f>
        <v>周二第1，2节{第1-17周}，周四第5，6节{第1-17周}，周四第7节{第1-17周}</v>
      </c>
      <c r="I337" s="3" t="s">
        <v>11</v>
      </c>
      <c r="J337" s="3" t="str">
        <f>"王开弘"</f>
        <v>王开弘</v>
      </c>
    </row>
    <row r="338" ht="48" spans="1:10">
      <c r="A338" s="3">
        <v>336</v>
      </c>
      <c r="B338" s="3" t="str">
        <f>"223071400022"</f>
        <v>223071400022</v>
      </c>
      <c r="C338" s="3" t="str">
        <f>"刘芯伶"</f>
        <v>刘芯伶</v>
      </c>
      <c r="D338" s="3" t="str">
        <f>"女"</f>
        <v>女</v>
      </c>
      <c r="E338" s="3" t="str">
        <f>"统计学"</f>
        <v>统计学</v>
      </c>
      <c r="F338" s="3" t="str">
        <f>"程序设计与python应用"</f>
        <v>程序设计与python应用</v>
      </c>
      <c r="G338" s="3" t="str">
        <f>"通识基础课"</f>
        <v>通识基础课</v>
      </c>
      <c r="H338" s="3" t="str">
        <f>"周三第5，6节{第1-17周}，周三第7节{第1-17周}"</f>
        <v>周三第5，6节{第1-17周}，周三第7节{第1-17周}</v>
      </c>
      <c r="I338" s="3" t="str">
        <f>"管理科学与工程学院"</f>
        <v>管理科学与工程学院</v>
      </c>
      <c r="J338" s="3" t="str">
        <f>"李瑾坤"</f>
        <v>李瑾坤</v>
      </c>
    </row>
    <row r="339" ht="48" spans="1:10">
      <c r="A339" s="3">
        <v>337</v>
      </c>
      <c r="B339" s="3" t="str">
        <f>"2230202J8004"</f>
        <v>2230202J8004</v>
      </c>
      <c r="C339" s="3" t="str">
        <f>"林浩男"</f>
        <v>林浩男</v>
      </c>
      <c r="D339" s="3" t="str">
        <f>"男"</f>
        <v>男</v>
      </c>
      <c r="E339" s="3" t="str">
        <f>"经济大数据分析"</f>
        <v>经济大数据分析</v>
      </c>
      <c r="F339" s="3" t="str">
        <f>"机器学习与数据挖掘"</f>
        <v>机器学习与数据挖掘</v>
      </c>
      <c r="G339" s="3" t="str">
        <f>"专业方向课"</f>
        <v>专业方向课</v>
      </c>
      <c r="H339" s="3" t="str">
        <f>"周三第5，6节{第1-17周}，周三第7节{第1-17周}"</f>
        <v>周三第5，6节{第1-17周}，周三第7节{第1-17周}</v>
      </c>
      <c r="I339" s="3" t="str">
        <f>"统计学院"</f>
        <v>统计学院</v>
      </c>
      <c r="J339" s="3" t="str">
        <f>"成青"</f>
        <v>成青</v>
      </c>
    </row>
    <row r="340" ht="48" spans="1:10">
      <c r="A340" s="3">
        <v>338</v>
      </c>
      <c r="B340" s="3" t="str">
        <f>"223070100027"</f>
        <v>223070100027</v>
      </c>
      <c r="C340" s="3" t="str">
        <f>"曾启旺"</f>
        <v>曾启旺</v>
      </c>
      <c r="D340" s="3" t="str">
        <f>"女"</f>
        <v>女</v>
      </c>
      <c r="E340" s="3" t="str">
        <f>"数学"</f>
        <v>数学</v>
      </c>
      <c r="F340" s="3" t="str">
        <f>"线性代数"</f>
        <v>线性代数</v>
      </c>
      <c r="G340" s="3" t="str">
        <f>"通识基础课"</f>
        <v>通识基础课</v>
      </c>
      <c r="H340" s="3" t="str">
        <f>"周四第1，2节{第1-17周}，周四第3节{第1-17周}"</f>
        <v>周四第1，2节{第1-17周}，周四第3节{第1-17周}</v>
      </c>
      <c r="I340" s="3" t="s">
        <v>11</v>
      </c>
      <c r="J340" s="3" t="str">
        <f>"高雪梅"</f>
        <v>高雪梅</v>
      </c>
    </row>
    <row r="341" ht="36" spans="1:10">
      <c r="A341" s="3">
        <v>339</v>
      </c>
      <c r="B341" s="3" t="str">
        <f>"1220202J8002"</f>
        <v>1220202J8002</v>
      </c>
      <c r="C341" s="3" t="str">
        <f>"徐琳"</f>
        <v>徐琳</v>
      </c>
      <c r="D341" s="3" t="str">
        <f>"女"</f>
        <v>女</v>
      </c>
      <c r="E341" s="3" t="str">
        <f>"经济大数据分析"</f>
        <v>经济大数据分析</v>
      </c>
      <c r="F341" s="3" t="str">
        <f>"机器学习与数据挖掘"</f>
        <v>机器学习与数据挖掘</v>
      </c>
      <c r="G341" s="3" t="str">
        <f>"专业必修课"</f>
        <v>专业必修课</v>
      </c>
      <c r="H341" s="3" t="str">
        <f>"周三第10，11，12节{第1-17周}"</f>
        <v>周三第10，11，12节{第1-17周}</v>
      </c>
      <c r="I341" s="3" t="str">
        <f>"统计学院"</f>
        <v>统计学院</v>
      </c>
      <c r="J341" s="3" t="str">
        <f>"成青"</f>
        <v>成青</v>
      </c>
    </row>
    <row r="342" ht="36" spans="1:10">
      <c r="A342" s="3">
        <v>340</v>
      </c>
      <c r="B342" s="3" t="str">
        <f>"1210202J8003"</f>
        <v>1210202J8003</v>
      </c>
      <c r="C342" s="3" t="str">
        <f>"雷博"</f>
        <v>雷博</v>
      </c>
      <c r="D342" s="3" t="str">
        <f>"男"</f>
        <v>男</v>
      </c>
      <c r="E342" s="3" t="str">
        <f>"经济大数据分析"</f>
        <v>经济大数据分析</v>
      </c>
      <c r="F342" s="3" t="str">
        <f>"数理统计（理）"</f>
        <v>数理统计（理）</v>
      </c>
      <c r="G342" s="3" t="str">
        <f>"大学科基础课"</f>
        <v>大学科基础课</v>
      </c>
      <c r="H342" s="3" t="str">
        <f>"周二第10，11，12节{第1-17周}"</f>
        <v>周二第10，11，12节{第1-17周}</v>
      </c>
      <c r="I342" s="3" t="str">
        <f>"统计学院"</f>
        <v>统计学院</v>
      </c>
      <c r="J342" s="3" t="str">
        <f>"王籼入"</f>
        <v>王籼入</v>
      </c>
    </row>
    <row r="343" ht="48" spans="1:10">
      <c r="A343" s="3">
        <v>341</v>
      </c>
      <c r="B343" s="3" t="str">
        <f>"122071400002"</f>
        <v>122071400002</v>
      </c>
      <c r="C343" s="3" t="str">
        <f>"谭植耀"</f>
        <v>谭植耀</v>
      </c>
      <c r="D343" s="3" t="str">
        <f>"男"</f>
        <v>男</v>
      </c>
      <c r="E343" s="3" t="str">
        <f>"统计学"</f>
        <v>统计学</v>
      </c>
      <c r="F343" s="3" t="str">
        <f>"机器学习与数据挖掘"</f>
        <v>机器学习与数据挖掘</v>
      </c>
      <c r="G343" s="3" t="str">
        <f>"专业方向课"</f>
        <v>专业方向课</v>
      </c>
      <c r="H343" s="3" t="str">
        <f>"周三第5，6节{第1-17周}，周三第7节{第1-17周}"</f>
        <v>周三第5，6节{第1-17周}，周三第7节{第1-17周}</v>
      </c>
      <c r="I343" s="3" t="str">
        <f>"统计学院"</f>
        <v>统计学院</v>
      </c>
      <c r="J343" s="3" t="str">
        <f>"成青"</f>
        <v>成青</v>
      </c>
    </row>
    <row r="344" ht="48" spans="1:10">
      <c r="A344" s="3">
        <v>342</v>
      </c>
      <c r="B344" s="3" t="str">
        <f>"124070100007"</f>
        <v>124070100007</v>
      </c>
      <c r="C344" s="3" t="str">
        <f>"封俊宏"</f>
        <v>封俊宏</v>
      </c>
      <c r="D344" s="3" t="str">
        <f>"男"</f>
        <v>男</v>
      </c>
      <c r="E344" s="3" t="str">
        <f>"数学"</f>
        <v>数学</v>
      </c>
      <c r="F344" s="3" t="str">
        <f>"实变函数论"</f>
        <v>实变函数论</v>
      </c>
      <c r="G344" s="3" t="str">
        <f>"大学科基础课"</f>
        <v>大学科基础课</v>
      </c>
      <c r="H344" s="3" t="str">
        <f>"周五第7节{第1-17周}，周五第8，9节{第1-17周}"</f>
        <v>周五第7节{第1-17周}，周五第8，9节{第1-17周}</v>
      </c>
      <c r="I344" s="3" t="s">
        <v>11</v>
      </c>
      <c r="J344" s="3" t="str">
        <f>"桑元琦"</f>
        <v>桑元琦</v>
      </c>
    </row>
    <row r="345" ht="24" spans="1:10">
      <c r="A345" s="3">
        <v>343</v>
      </c>
      <c r="B345" s="3" t="str">
        <f>"223081200049"</f>
        <v>223081200049</v>
      </c>
      <c r="C345" s="3" t="str">
        <f>"邓洪民"</f>
        <v>邓洪民</v>
      </c>
      <c r="D345" s="3" t="str">
        <f>"男"</f>
        <v>男</v>
      </c>
      <c r="E345" s="3" t="str">
        <f>"计算机科学与技术"</f>
        <v>计算机科学与技术</v>
      </c>
      <c r="F345" s="3" t="str">
        <f>"人工智能与现代科技"</f>
        <v>人工智能与现代科技</v>
      </c>
      <c r="G345" s="3" t="str">
        <f>"通识基础课"</f>
        <v>通识基础课</v>
      </c>
      <c r="H345" s="3" t="str">
        <f>"周一第3，4节{第1-17周}"</f>
        <v>周一第3，4节{第1-17周}</v>
      </c>
      <c r="I345" s="3" t="str">
        <f>"计算机与人工智能学院"</f>
        <v>计算机与人工智能学院</v>
      </c>
      <c r="J345" s="3" t="str">
        <f>"张丹"</f>
        <v>张丹</v>
      </c>
    </row>
    <row r="346" ht="24" spans="1:10">
      <c r="A346" s="3">
        <v>344</v>
      </c>
      <c r="B346" s="3" t="str">
        <f>"1240202J9001"</f>
        <v>1240202J9001</v>
      </c>
      <c r="C346" s="3" t="str">
        <f>"李可凡"</f>
        <v>李可凡</v>
      </c>
      <c r="D346" s="3" t="str">
        <f>"女"</f>
        <v>女</v>
      </c>
      <c r="E346" s="3" t="str">
        <f>"财富管理"</f>
        <v>财富管理</v>
      </c>
      <c r="F346" s="3" t="str">
        <f>"大数据与财富管理概论MOOC"</f>
        <v>大数据与财富管理概论MOOC</v>
      </c>
      <c r="G346" s="3" t="str">
        <f>"慕课"</f>
        <v>慕课</v>
      </c>
      <c r="H346" s="3" t="str">
        <f>"2025年3-6月"</f>
        <v>2025年3-6月</v>
      </c>
      <c r="I346" s="3" t="str">
        <f>"金融学院"</f>
        <v>金融学院</v>
      </c>
      <c r="J346" s="3" t="str">
        <f>"蔡栋梁"</f>
        <v>蔡栋梁</v>
      </c>
    </row>
    <row r="347" ht="36" spans="1:10">
      <c r="A347" s="3">
        <v>345</v>
      </c>
      <c r="B347" s="3" t="str">
        <f>"224071400009"</f>
        <v>224071400009</v>
      </c>
      <c r="C347" s="3" t="str">
        <f>"解笑傲"</f>
        <v>解笑傲</v>
      </c>
      <c r="D347" s="3" t="str">
        <f>"男"</f>
        <v>男</v>
      </c>
      <c r="E347" s="3" t="str">
        <f>"统计学"</f>
        <v>统计学</v>
      </c>
      <c r="F347" s="3" t="str">
        <f>"多元统计分析"</f>
        <v>多元统计分析</v>
      </c>
      <c r="G347" s="3" t="str">
        <f>"专业方向课"</f>
        <v>专业方向课</v>
      </c>
      <c r="H347" s="3" t="str">
        <f>"周一第10，11，12节{第1-17周}"</f>
        <v>周一第10，11，12节{第1-17周}</v>
      </c>
      <c r="I347" s="3" t="str">
        <f>"统计学院"</f>
        <v>统计学院</v>
      </c>
      <c r="J347" s="3" t="str">
        <f>"张术林"</f>
        <v>张术林</v>
      </c>
    </row>
    <row r="348" ht="48" spans="1:10">
      <c r="A348" s="3">
        <v>346</v>
      </c>
      <c r="B348" s="3" t="str">
        <f>"223020104028"</f>
        <v>223020104028</v>
      </c>
      <c r="C348" s="3" t="str">
        <f>"刘雨欣"</f>
        <v>刘雨欣</v>
      </c>
      <c r="D348" s="3" t="str">
        <f>"女"</f>
        <v>女</v>
      </c>
      <c r="E348" s="3" t="str">
        <f>"西方经济学"</f>
        <v>西方经济学</v>
      </c>
      <c r="F348" s="3" t="str">
        <f>"宏观经济学"</f>
        <v>宏观经济学</v>
      </c>
      <c r="G348" s="3" t="str">
        <f>"学科基础课"</f>
        <v>学科基础课</v>
      </c>
      <c r="H348" s="3" t="str">
        <f>"周三第1，2节{第1-17周}，周三第3节{第1-17周}"</f>
        <v>周三第1，2节{第1-17周}，周三第3节{第1-17周}</v>
      </c>
      <c r="I348" s="3" t="str">
        <f>"经济学院"</f>
        <v>经济学院</v>
      </c>
      <c r="J348" s="3" t="str">
        <f>"梁鑫"</f>
        <v>梁鑫</v>
      </c>
    </row>
    <row r="349" spans="1:10">
      <c r="A349" s="3">
        <v>347</v>
      </c>
      <c r="B349" s="3" t="str">
        <f>"121120202005"</f>
        <v>121120202005</v>
      </c>
      <c r="C349" s="3" t="str">
        <f>"王振"</f>
        <v>王振</v>
      </c>
      <c r="D349" s="3" t="str">
        <f>"男"</f>
        <v>男</v>
      </c>
      <c r="E349" s="3" t="str">
        <f>"企业管理"</f>
        <v>企业管理</v>
      </c>
      <c r="F349" s="3" t="str">
        <f>"管理信息系统MOOC"</f>
        <v>管理信息系统MOOC</v>
      </c>
      <c r="G349" s="3" t="str">
        <f>"慕课"</f>
        <v>慕课</v>
      </c>
      <c r="H349" s="3" t="str">
        <f>"2025年3-6月"</f>
        <v>2025年3-6月</v>
      </c>
      <c r="I349" s="3" t="str">
        <f>"工商管理学院"</f>
        <v>工商管理学院</v>
      </c>
      <c r="J349" s="3" t="str">
        <f>"王祎"</f>
        <v>王祎</v>
      </c>
    </row>
    <row r="350" ht="24" spans="1:10">
      <c r="A350" s="3">
        <v>348</v>
      </c>
      <c r="B350" s="3" t="str">
        <f>"1230701Z1004"</f>
        <v>1230701Z1004</v>
      </c>
      <c r="C350" s="3" t="str">
        <f>"胡业勋"</f>
        <v>胡业勋</v>
      </c>
      <c r="D350" s="3" t="str">
        <f>"男"</f>
        <v>男</v>
      </c>
      <c r="E350" s="3" t="str">
        <f>"人工智能理论与应用"</f>
        <v>人工智能理论与应用</v>
      </c>
      <c r="F350" s="3" t="str">
        <f>"人工智能与现代科技"</f>
        <v>人工智能与现代科技</v>
      </c>
      <c r="G350" s="3" t="str">
        <f>"通识基础课"</f>
        <v>通识基础课</v>
      </c>
      <c r="H350" s="3" t="str">
        <f>"周四第1，2节{第1-17周}"</f>
        <v>周四第1，2节{第1-17周}</v>
      </c>
      <c r="I350" s="3" t="str">
        <f>"计算机与人工智能学院"</f>
        <v>计算机与人工智能学院</v>
      </c>
      <c r="J350" s="3" t="str">
        <f>"马奥"</f>
        <v>马奥</v>
      </c>
    </row>
    <row r="351" ht="36" spans="1:10">
      <c r="A351" s="3">
        <v>349</v>
      </c>
      <c r="B351" s="3" t="str">
        <f>"124120202001"</f>
        <v>124120202001</v>
      </c>
      <c r="C351" s="3" t="str">
        <f>"李溢敏"</f>
        <v>李溢敏</v>
      </c>
      <c r="D351" s="3" t="str">
        <f>"女"</f>
        <v>女</v>
      </c>
      <c r="E351" s="3" t="str">
        <f>"企业管理"</f>
        <v>企业管理</v>
      </c>
      <c r="F351" s="3" t="str">
        <f>"管理学原理（英）"</f>
        <v>管理学原理（英）</v>
      </c>
      <c r="G351" s="3" t="str">
        <f>"大学科基础课"</f>
        <v>大学科基础课</v>
      </c>
      <c r="H351" s="3" t="str">
        <f>"周三第10，11，12节{第1-17周}"</f>
        <v>周三第10，11，12节{第1-17周}</v>
      </c>
      <c r="I351" s="3" t="str">
        <f>"工商管理学院"</f>
        <v>工商管理学院</v>
      </c>
      <c r="J351" s="3" t="str">
        <f>"唐明凤"</f>
        <v>唐明凤</v>
      </c>
    </row>
    <row r="352" ht="48" spans="1:10">
      <c r="A352" s="3">
        <v>350</v>
      </c>
      <c r="B352" s="3" t="str">
        <f>"2240202Z1009"</f>
        <v>2240202Z1009</v>
      </c>
      <c r="C352" s="3" t="str">
        <f>"赵博韬"</f>
        <v>赵博韬</v>
      </c>
      <c r="D352" s="3" t="str">
        <f>"男"</f>
        <v>男</v>
      </c>
      <c r="E352" s="3" t="str">
        <f>"数理金融学"</f>
        <v>数理金融学</v>
      </c>
      <c r="F352" s="3" t="str">
        <f>"随机分析"</f>
        <v>随机分析</v>
      </c>
      <c r="G352" s="3" t="str">
        <f>"专业方向课"</f>
        <v>专业方向课</v>
      </c>
      <c r="H352" s="3" t="str">
        <f>"周三第5，6节{第1-17周}，周三第7节{第1-17周}"</f>
        <v>周三第5，6节{第1-17周}，周三第7节{第1-17周}</v>
      </c>
      <c r="I352" s="3" t="str">
        <f>"数学学院"</f>
        <v>数学学院</v>
      </c>
      <c r="J352" s="3" t="str">
        <f>"席悦娟"</f>
        <v>席悦娟</v>
      </c>
    </row>
    <row r="353" ht="48" spans="1:10">
      <c r="A353" s="3">
        <v>351</v>
      </c>
      <c r="B353" s="3" t="str">
        <f>"124120201013"</f>
        <v>124120201013</v>
      </c>
      <c r="C353" s="3" t="str">
        <f>"李梦韩"</f>
        <v>李梦韩</v>
      </c>
      <c r="D353" s="3" t="str">
        <f t="shared" ref="D353:D361" si="7">"女"</f>
        <v>女</v>
      </c>
      <c r="E353" s="3" t="str">
        <f>"会计学"</f>
        <v>会计学</v>
      </c>
      <c r="F353" s="3" t="str">
        <f>"会计学"</f>
        <v>会计学</v>
      </c>
      <c r="G353" s="3" t="str">
        <f>"学科基础课"</f>
        <v>学科基础课</v>
      </c>
      <c r="H353" s="3" t="str">
        <f>"周四第5，6节{第1-17周}，周四第7节{第1-17周}"</f>
        <v>周四第5，6节{第1-17周}，周四第7节{第1-17周}</v>
      </c>
      <c r="I353" s="3" t="str">
        <f>"会计学院"</f>
        <v>会计学院</v>
      </c>
      <c r="J353" s="3" t="str">
        <f>"邓博夫"</f>
        <v>邓博夫</v>
      </c>
    </row>
    <row r="354" ht="48" spans="1:10">
      <c r="A354" s="3">
        <v>352</v>
      </c>
      <c r="B354" s="3" t="str">
        <f>"223020101013"</f>
        <v>223020101013</v>
      </c>
      <c r="C354" s="3" t="str">
        <f>"汪怡彤"</f>
        <v>汪怡彤</v>
      </c>
      <c r="D354" s="3" t="str">
        <f t="shared" si="7"/>
        <v>女</v>
      </c>
      <c r="E354" s="3" t="str">
        <f>"政治经济学"</f>
        <v>政治经济学</v>
      </c>
      <c r="F354" s="3" t="str">
        <f>"政治经济学"</f>
        <v>政治经济学</v>
      </c>
      <c r="G354" s="3" t="str">
        <f>"学科基础课"</f>
        <v>学科基础课</v>
      </c>
      <c r="H354" s="3" t="str">
        <f>"周三第1，2节{第1-17周}，周三第3节{第1-17周}"</f>
        <v>周三第1，2节{第1-17周}，周三第3节{第1-17周}</v>
      </c>
      <c r="I354" s="3" t="str">
        <f>"经济学院"</f>
        <v>经济学院</v>
      </c>
      <c r="J354" s="3" t="str">
        <f>"王卫卿"</f>
        <v>王卫卿</v>
      </c>
    </row>
    <row r="355" ht="48" spans="1:10">
      <c r="A355" s="3">
        <v>353</v>
      </c>
      <c r="B355" s="3" t="str">
        <f>"222071400003"</f>
        <v>222071400003</v>
      </c>
      <c r="C355" s="3" t="str">
        <f>"王榕"</f>
        <v>王榕</v>
      </c>
      <c r="D355" s="3" t="str">
        <f t="shared" si="7"/>
        <v>女</v>
      </c>
      <c r="E355" s="3" t="str">
        <f>"统计学"</f>
        <v>统计学</v>
      </c>
      <c r="F355" s="3" t="str">
        <f>"计算统计"</f>
        <v>计算统计</v>
      </c>
      <c r="G355" s="3" t="str">
        <f>"大学科基础课"</f>
        <v>大学科基础课</v>
      </c>
      <c r="H355" s="3" t="str">
        <f>"周三第5，6节{第1-17周}，周三第7节{第1-17周}"</f>
        <v>周三第5，6节{第1-17周}，周三第7节{第1-17周}</v>
      </c>
      <c r="I355" s="3" t="str">
        <f>"统计学院"</f>
        <v>统计学院</v>
      </c>
      <c r="J355" s="3" t="str">
        <f>"郭斌"</f>
        <v>郭斌</v>
      </c>
    </row>
    <row r="356" ht="48" spans="1:10">
      <c r="A356" s="3">
        <v>354</v>
      </c>
      <c r="B356" s="3" t="str">
        <f>"1220201Z2001"</f>
        <v>1220201Z2001</v>
      </c>
      <c r="C356" s="3" t="str">
        <f>"李欣芮"</f>
        <v>李欣芮</v>
      </c>
      <c r="D356" s="3" t="str">
        <f t="shared" si="7"/>
        <v>女</v>
      </c>
      <c r="E356" s="3" t="str">
        <f>"发展经济学"</f>
        <v>发展经济学</v>
      </c>
      <c r="F356" s="3" t="str">
        <f>"微观经济学（英）"</f>
        <v>微观经济学（英）</v>
      </c>
      <c r="G356" s="3" t="str">
        <f>"学科基础课"</f>
        <v>学科基础课</v>
      </c>
      <c r="H356" s="3" t="str">
        <f>"周一第5，6节{第1-17周}，周一第7节{第1-17周}"</f>
        <v>周一第5，6节{第1-17周}，周一第7节{第1-17周}</v>
      </c>
      <c r="I356" s="3" t="str">
        <f>"特拉华数据科学学院"</f>
        <v>特拉华数据科学学院</v>
      </c>
      <c r="J356" s="3" t="str">
        <f>"余津嫺"</f>
        <v>余津嫺</v>
      </c>
    </row>
    <row r="357" ht="48" spans="1:10">
      <c r="A357" s="3">
        <v>355</v>
      </c>
      <c r="B357" s="3" t="str">
        <f>"2240202Z7020"</f>
        <v>2240202Z7020</v>
      </c>
      <c r="C357" s="3" t="str">
        <f>"曾路垚"</f>
        <v>曾路垚</v>
      </c>
      <c r="D357" s="3" t="str">
        <f t="shared" si="7"/>
        <v>女</v>
      </c>
      <c r="E357" s="3" t="str">
        <f>"保险学"</f>
        <v>保险学</v>
      </c>
      <c r="F357" s="3" t="str">
        <f>"会计学"</f>
        <v>会计学</v>
      </c>
      <c r="G357" s="3" t="str">
        <f>"学科基础课"</f>
        <v>学科基础课</v>
      </c>
      <c r="H357" s="3" t="str">
        <f>"周三第5，6节{第1-17周}，周三第7节{第1-17周}"</f>
        <v>周三第5，6节{第1-17周}，周三第7节{第1-17周}</v>
      </c>
      <c r="I357" s="3" t="str">
        <f>"金融学院"</f>
        <v>金融学院</v>
      </c>
      <c r="J357" s="3" t="str">
        <f>"张婷婷"</f>
        <v>张婷婷</v>
      </c>
    </row>
    <row r="358" ht="48" spans="1:10">
      <c r="A358" s="3">
        <v>356</v>
      </c>
      <c r="B358" s="3" t="str">
        <f>"123020208006"</f>
        <v>123020208006</v>
      </c>
      <c r="C358" s="3" t="str">
        <f>"刘雯"</f>
        <v>刘雯</v>
      </c>
      <c r="D358" s="3" t="str">
        <f t="shared" si="7"/>
        <v>女</v>
      </c>
      <c r="E358" s="3" t="str">
        <f>"统计学"</f>
        <v>统计学</v>
      </c>
      <c r="F358" s="3" t="str">
        <f>"数理统计（理）"</f>
        <v>数理统计（理）</v>
      </c>
      <c r="G358" s="3" t="str">
        <f>"大学科基础课"</f>
        <v>大学科基础课</v>
      </c>
      <c r="H358" s="3" t="str">
        <f>"周四第5，6节{第1-17周}，周四第7节{第1-17周}"</f>
        <v>周四第5，6节{第1-17周}，周四第7节{第1-17周}</v>
      </c>
      <c r="I358" s="3" t="str">
        <f>"统计学院"</f>
        <v>统计学院</v>
      </c>
      <c r="J358" s="3" t="str">
        <f>"马昀蓓"</f>
        <v>马昀蓓</v>
      </c>
    </row>
    <row r="359" ht="48" spans="1:10">
      <c r="A359" s="3">
        <v>357</v>
      </c>
      <c r="B359" s="3" t="str">
        <f>"223070100007"</f>
        <v>223070100007</v>
      </c>
      <c r="C359" s="3" t="str">
        <f>"李姚"</f>
        <v>李姚</v>
      </c>
      <c r="D359" s="3" t="str">
        <f t="shared" si="7"/>
        <v>女</v>
      </c>
      <c r="E359" s="3" t="str">
        <f>"数学"</f>
        <v>数学</v>
      </c>
      <c r="F359" s="3" t="str">
        <f>"高等代数Ⅱ"</f>
        <v>高等代数Ⅱ</v>
      </c>
      <c r="G359" s="3" t="str">
        <f>"通识基础课"</f>
        <v>通识基础课</v>
      </c>
      <c r="H359" s="3" t="str">
        <f>"周四第1，2节{第1-17周}，周四第3节{第1-17周}"</f>
        <v>周四第1，2节{第1-17周}，周四第3节{第1-17周}</v>
      </c>
      <c r="I359" s="3" t="s">
        <v>11</v>
      </c>
      <c r="J359" s="3" t="str">
        <f>"顾先明"</f>
        <v>顾先明</v>
      </c>
    </row>
    <row r="360" ht="48" spans="1:10">
      <c r="A360" s="3">
        <v>358</v>
      </c>
      <c r="B360" s="3" t="str">
        <f>"223070100015"</f>
        <v>223070100015</v>
      </c>
      <c r="C360" s="3" t="str">
        <f>"曾文黎"</f>
        <v>曾文黎</v>
      </c>
      <c r="D360" s="3" t="str">
        <f t="shared" si="7"/>
        <v>女</v>
      </c>
      <c r="E360" s="3" t="str">
        <f>"数学"</f>
        <v>数学</v>
      </c>
      <c r="F360" s="3" t="str">
        <f>"高等代数Ⅱ"</f>
        <v>高等代数Ⅱ</v>
      </c>
      <c r="G360" s="3" t="str">
        <f>"通识基础课"</f>
        <v>通识基础课</v>
      </c>
      <c r="H360" s="3" t="str">
        <f>"周四第7节{第1-17周}，周四第8，9节{第1-17周}"</f>
        <v>周四第7节{第1-17周}，周四第8，9节{第1-17周}</v>
      </c>
      <c r="I360" s="3" t="s">
        <v>11</v>
      </c>
      <c r="J360" s="3" t="str">
        <f>"顾先明"</f>
        <v>顾先明</v>
      </c>
    </row>
    <row r="361" ht="48" spans="1:10">
      <c r="A361" s="3">
        <v>359</v>
      </c>
      <c r="B361" s="3" t="str">
        <f>"1220202J4006"</f>
        <v>1220202J4006</v>
      </c>
      <c r="C361" s="3" t="str">
        <f>"刘淼淼"</f>
        <v>刘淼淼</v>
      </c>
      <c r="D361" s="3" t="str">
        <f t="shared" si="7"/>
        <v>女</v>
      </c>
      <c r="E361" s="3" t="str">
        <f>"公共经济制度与政策"</f>
        <v>公共经济制度与政策</v>
      </c>
      <c r="F361" s="3" t="str">
        <f>"微观经济学"</f>
        <v>微观经济学</v>
      </c>
      <c r="G361" s="3" t="str">
        <f>"学科基础课"</f>
        <v>学科基础课</v>
      </c>
      <c r="H361" s="3" t="str">
        <f>"周三第5，6节{第1-17周}，周三第7节{第1-17周}"</f>
        <v>周三第5，6节{第1-17周}，周三第7节{第1-17周}</v>
      </c>
      <c r="I361" s="3" t="str">
        <f>"特拉华数据科学学院"</f>
        <v>特拉华数据科学学院</v>
      </c>
      <c r="J361" s="3" t="str">
        <f>"余津嫺"</f>
        <v>余津嫺</v>
      </c>
    </row>
    <row r="362" ht="48" spans="1:10">
      <c r="A362" s="3">
        <v>360</v>
      </c>
      <c r="B362" s="3" t="str">
        <f>"124020106004"</f>
        <v>124020106004</v>
      </c>
      <c r="C362" s="3" t="str">
        <f>"李云飞"</f>
        <v>李云飞</v>
      </c>
      <c r="D362" s="3" t="str">
        <f>"男"</f>
        <v>男</v>
      </c>
      <c r="E362" s="3" t="str">
        <f>"人口、资源与环境经济学"</f>
        <v>人口、资源与环境经济学</v>
      </c>
      <c r="F362" s="3" t="str">
        <f>"宏观经济学"</f>
        <v>宏观经济学</v>
      </c>
      <c r="G362" s="3" t="str">
        <f>"学科基础课"</f>
        <v>学科基础课</v>
      </c>
      <c r="H362" s="3" t="str">
        <f>"周一第1，2节{第1-17周}，周一第3节{第1-17周}"</f>
        <v>周一第1，2节{第1-17周}，周一第3节{第1-17周}</v>
      </c>
      <c r="I362" s="3" t="str">
        <f>"经济学院"</f>
        <v>经济学院</v>
      </c>
      <c r="J362" s="3" t="str">
        <f>"王子奇"</f>
        <v>王子奇</v>
      </c>
    </row>
    <row r="363" ht="72" spans="1:10">
      <c r="A363" s="3">
        <v>361</v>
      </c>
      <c r="B363" s="3" t="str">
        <f>"222070100017"</f>
        <v>222070100017</v>
      </c>
      <c r="C363" s="3" t="str">
        <f>"芦彦"</f>
        <v>芦彦</v>
      </c>
      <c r="D363" s="3" t="str">
        <f t="shared" ref="D363:D371" si="8">"女"</f>
        <v>女</v>
      </c>
      <c r="E363" s="3" t="str">
        <f>"数学"</f>
        <v>数学</v>
      </c>
      <c r="F363" s="3" t="str">
        <f>"高等数学Ⅱ"</f>
        <v>高等数学Ⅱ</v>
      </c>
      <c r="G363" s="3" t="str">
        <f>"通识基础课"</f>
        <v>通识基础课</v>
      </c>
      <c r="H363" s="3" t="str">
        <f>"周二第1，2节{第1-17周}，周四第1，2节{第1-17周}，周四第3节{第1-17周}"</f>
        <v>周二第1，2节{第1-17周}，周四第1，2节{第1-17周}，周四第3节{第1-17周}</v>
      </c>
      <c r="I363" s="3" t="s">
        <v>11</v>
      </c>
      <c r="J363" s="3" t="str">
        <f>"刘彩平"</f>
        <v>刘彩平</v>
      </c>
    </row>
    <row r="364" ht="48" spans="1:10">
      <c r="A364" s="3">
        <v>362</v>
      </c>
      <c r="B364" s="3" t="str">
        <f>"223020204149"</f>
        <v>223020204149</v>
      </c>
      <c r="C364" s="3" t="str">
        <f>"田甜"</f>
        <v>田甜</v>
      </c>
      <c r="D364" s="3" t="str">
        <f t="shared" si="8"/>
        <v>女</v>
      </c>
      <c r="E364" s="3" t="str">
        <f>"金融学"</f>
        <v>金融学</v>
      </c>
      <c r="F364" s="3" t="str">
        <f>"会计学"</f>
        <v>会计学</v>
      </c>
      <c r="G364" s="3" t="str">
        <f>"学科基础课"</f>
        <v>学科基础课</v>
      </c>
      <c r="H364" s="3" t="str">
        <f>"周一第1，2节{第1-17周}，周一第3节{第1-17周}"</f>
        <v>周一第1，2节{第1-17周}，周一第3节{第1-17周}</v>
      </c>
      <c r="I364" s="3" t="str">
        <f>"会计学院"</f>
        <v>会计学院</v>
      </c>
      <c r="J364" s="3" t="str">
        <f>"李海燕"</f>
        <v>李海燕</v>
      </c>
    </row>
    <row r="365" ht="48" spans="1:10">
      <c r="A365" s="3">
        <v>363</v>
      </c>
      <c r="B365" s="3" t="str">
        <f>"224020104015"</f>
        <v>224020104015</v>
      </c>
      <c r="C365" s="3" t="str">
        <f>"邓睿琼"</f>
        <v>邓睿琼</v>
      </c>
      <c r="D365" s="3" t="str">
        <f t="shared" si="8"/>
        <v>女</v>
      </c>
      <c r="E365" s="3" t="str">
        <f>"西方经济学"</f>
        <v>西方经济学</v>
      </c>
      <c r="F365" s="3" t="str">
        <f>"宏观经济学"</f>
        <v>宏观经济学</v>
      </c>
      <c r="G365" s="3" t="str">
        <f>"学科基础课"</f>
        <v>学科基础课</v>
      </c>
      <c r="H365" s="3" t="str">
        <f>"周五第5，6节{第1-17周}，周五第7节{第1-17周}"</f>
        <v>周五第5，6节{第1-17周}，周五第7节{第1-17周}</v>
      </c>
      <c r="I365" s="3" t="str">
        <f>"经济学院"</f>
        <v>经济学院</v>
      </c>
      <c r="J365" s="3" t="str">
        <f>"刘书祥"</f>
        <v>刘书祥</v>
      </c>
    </row>
    <row r="366" ht="48" spans="1:10">
      <c r="A366" s="3">
        <v>364</v>
      </c>
      <c r="B366" s="3" t="str">
        <f>"223020104027"</f>
        <v>223020104027</v>
      </c>
      <c r="C366" s="3" t="str">
        <f>"李若琪"</f>
        <v>李若琪</v>
      </c>
      <c r="D366" s="3" t="str">
        <f t="shared" si="8"/>
        <v>女</v>
      </c>
      <c r="E366" s="3" t="str">
        <f>"西方经济学"</f>
        <v>西方经济学</v>
      </c>
      <c r="F366" s="3" t="str">
        <f>"宏观经济学"</f>
        <v>宏观经济学</v>
      </c>
      <c r="G366" s="3" t="str">
        <f>"学科基础课"</f>
        <v>学科基础课</v>
      </c>
      <c r="H366" s="3" t="str">
        <f>"周三第1，2节{第1-17周}，周三第3节{第1-17周}"</f>
        <v>周三第1，2节{第1-17周}，周三第3节{第1-17周}</v>
      </c>
      <c r="I366" s="3" t="str">
        <f>"经济学院"</f>
        <v>经济学院</v>
      </c>
      <c r="J366" s="3" t="str">
        <f>"梁鑫"</f>
        <v>梁鑫</v>
      </c>
    </row>
    <row r="367" ht="48" spans="1:10">
      <c r="A367" s="3">
        <v>365</v>
      </c>
      <c r="B367" s="3" t="str">
        <f>"123020101002"</f>
        <v>123020101002</v>
      </c>
      <c r="C367" s="3" t="str">
        <f>"王梦洁"</f>
        <v>王梦洁</v>
      </c>
      <c r="D367" s="3" t="str">
        <f t="shared" si="8"/>
        <v>女</v>
      </c>
      <c r="E367" s="3" t="str">
        <f>"政治经济学"</f>
        <v>政治经济学</v>
      </c>
      <c r="F367" s="3" t="str">
        <f>"中级宏观经济学"</f>
        <v>中级宏观经济学</v>
      </c>
      <c r="G367" s="3" t="str">
        <f>"专业方向课"</f>
        <v>专业方向课</v>
      </c>
      <c r="H367" s="3" t="str">
        <f>"周一第1，2节{第1-17周}，周一第3节{第1-17周}"</f>
        <v>周一第1，2节{第1-17周}，周一第3节{第1-17周}</v>
      </c>
      <c r="I367" s="3" t="str">
        <f>"经济学院"</f>
        <v>经济学院</v>
      </c>
      <c r="J367" s="3" t="str">
        <f>"陈师"</f>
        <v>陈师</v>
      </c>
    </row>
    <row r="368" ht="96" spans="1:10">
      <c r="A368" s="3">
        <v>366</v>
      </c>
      <c r="B368" s="3" t="str">
        <f>"121120201002"</f>
        <v>121120201002</v>
      </c>
      <c r="C368" s="3" t="str">
        <f>"蒋维"</f>
        <v>蒋维</v>
      </c>
      <c r="D368" s="3" t="str">
        <f t="shared" si="8"/>
        <v>女</v>
      </c>
      <c r="E368" s="3" t="str">
        <f>"会计学"</f>
        <v>会计学</v>
      </c>
      <c r="F368" s="3" t="str">
        <f>"数学分析Ⅱ（理科）"</f>
        <v>数学分析Ⅱ（理科）</v>
      </c>
      <c r="G368" s="3" t="str">
        <f>"通识基础课"</f>
        <v>通识基础课</v>
      </c>
      <c r="H368" s="3" t="str">
        <f>"周一第5，6节{第1-17周}，周一第7节{第1-17周}，周三第5，6节{第1-17周}，周三第7节{第1-17周}"</f>
        <v>周一第5，6节{第1-17周}，周一第7节{第1-17周}，周三第5，6节{第1-17周}，周三第7节{第1-17周}</v>
      </c>
      <c r="I368" s="3" t="s">
        <v>11</v>
      </c>
      <c r="J368" s="3" t="str">
        <f>"黎伟"</f>
        <v>黎伟</v>
      </c>
    </row>
    <row r="369" ht="36" spans="1:10">
      <c r="A369" s="3">
        <v>367</v>
      </c>
      <c r="B369" s="3" t="str">
        <f>"122020101003"</f>
        <v>122020101003</v>
      </c>
      <c r="C369" s="3" t="str">
        <f>"白晗晗"</f>
        <v>白晗晗</v>
      </c>
      <c r="D369" s="3" t="str">
        <f t="shared" si="8"/>
        <v>女</v>
      </c>
      <c r="E369" s="3" t="str">
        <f>"政治经济学"</f>
        <v>政治经济学</v>
      </c>
      <c r="F369" s="3" t="str">
        <f>"中级宏观经济学"</f>
        <v>中级宏观经济学</v>
      </c>
      <c r="G369" s="3" t="str">
        <f>"专业必修课"</f>
        <v>专业必修课</v>
      </c>
      <c r="H369" s="3" t="str">
        <f>"周二第10，11，12节{第1-17周}"</f>
        <v>周二第10，11，12节{第1-17周}</v>
      </c>
      <c r="I369" s="3" t="str">
        <f>"经济学院"</f>
        <v>经济学院</v>
      </c>
      <c r="J369" s="3" t="str">
        <f>"陈师"</f>
        <v>陈师</v>
      </c>
    </row>
    <row r="370" ht="48" spans="1:10">
      <c r="A370" s="3">
        <v>368</v>
      </c>
      <c r="B370" s="3" t="str">
        <f>"222070100014"</f>
        <v>222070100014</v>
      </c>
      <c r="C370" s="3" t="str">
        <f>"齐悦"</f>
        <v>齐悦</v>
      </c>
      <c r="D370" s="3" t="str">
        <f t="shared" si="8"/>
        <v>女</v>
      </c>
      <c r="E370" s="3" t="str">
        <f>"数学"</f>
        <v>数学</v>
      </c>
      <c r="F370" s="3" t="str">
        <f>"线性代数"</f>
        <v>线性代数</v>
      </c>
      <c r="G370" s="3" t="str">
        <f>"通识基础课"</f>
        <v>通识基础课</v>
      </c>
      <c r="H370" s="3" t="str">
        <f>"周四第5，6节{第1-17周}，周四第7节{第1-17周}"</f>
        <v>周四第5，6节{第1-17周}，周四第7节{第1-17周}</v>
      </c>
      <c r="I370" s="3" t="s">
        <v>11</v>
      </c>
      <c r="J370" s="3" t="str">
        <f>"李静"</f>
        <v>李静</v>
      </c>
    </row>
    <row r="371" ht="48" spans="1:10">
      <c r="A371" s="3">
        <v>369</v>
      </c>
      <c r="B371" s="3" t="str">
        <f>"1230202J4006"</f>
        <v>1230202J4006</v>
      </c>
      <c r="C371" s="3" t="str">
        <f>"田娇"</f>
        <v>田娇</v>
      </c>
      <c r="D371" s="3" t="str">
        <f t="shared" si="8"/>
        <v>女</v>
      </c>
      <c r="E371" s="3" t="str">
        <f>"公共经济制度与政策"</f>
        <v>公共经济制度与政策</v>
      </c>
      <c r="F371" s="3" t="str">
        <f>"微观经济学"</f>
        <v>微观经济学</v>
      </c>
      <c r="G371" s="3" t="str">
        <f>"通识基础课"</f>
        <v>通识基础课</v>
      </c>
      <c r="H371" s="3" t="str">
        <f>"周一第5，6节{第1-17周}，周一第7节{第1-17周}"</f>
        <v>周一第5，6节{第1-17周}，周一第7节{第1-17周}</v>
      </c>
      <c r="I371" s="3" t="str">
        <f>"工商管理学院"</f>
        <v>工商管理学院</v>
      </c>
      <c r="J371" s="3" t="str">
        <f>"李起铨"</f>
        <v>李起铨</v>
      </c>
    </row>
    <row r="372" ht="24" spans="1:10">
      <c r="A372" s="3">
        <v>370</v>
      </c>
      <c r="B372" s="3" t="str">
        <f>"223081200057"</f>
        <v>223081200057</v>
      </c>
      <c r="C372" s="3" t="str">
        <f>"丁方一"</f>
        <v>丁方一</v>
      </c>
      <c r="D372" s="3" t="str">
        <f>"男"</f>
        <v>男</v>
      </c>
      <c r="E372" s="3" t="str">
        <f>"计算机科学与技术"</f>
        <v>计算机科学与技术</v>
      </c>
      <c r="F372" s="3" t="str">
        <f>"人工智能与现代科技"</f>
        <v>人工智能与现代科技</v>
      </c>
      <c r="G372" s="3" t="str">
        <f>"通识基础课"</f>
        <v>通识基础课</v>
      </c>
      <c r="H372" s="3" t="str">
        <f>"周四第8，9节{第1-17周}"</f>
        <v>周四第8，9节{第1-17周}</v>
      </c>
      <c r="I372" s="3" t="str">
        <f>"计算机与人工智能学院"</f>
        <v>计算机与人工智能学院</v>
      </c>
      <c r="J372" s="3" t="str">
        <f>"占求港"</f>
        <v>占求港</v>
      </c>
    </row>
    <row r="373" ht="36" spans="1:10">
      <c r="A373" s="3">
        <v>371</v>
      </c>
      <c r="B373" s="3" t="str">
        <f>"223020101017"</f>
        <v>223020101017</v>
      </c>
      <c r="C373" s="3" t="str">
        <f>"戴楚玥"</f>
        <v>戴楚玥</v>
      </c>
      <c r="D373" s="3" t="str">
        <f>"女"</f>
        <v>女</v>
      </c>
      <c r="E373" s="3" t="str">
        <f>"政治经济学"</f>
        <v>政治经济学</v>
      </c>
      <c r="F373" s="3" t="str">
        <f>"宏观经济学"</f>
        <v>宏观经济学</v>
      </c>
      <c r="G373" s="3" t="str">
        <f>"学科基础课"</f>
        <v>学科基础课</v>
      </c>
      <c r="H373" s="3" t="str">
        <f>"周二第10，11，12节{第1-17周}"</f>
        <v>周二第10，11，12节{第1-17周}</v>
      </c>
      <c r="I373" s="3" t="str">
        <f>"经济学院"</f>
        <v>经济学院</v>
      </c>
      <c r="J373" s="3" t="str">
        <f>"李雪莲"</f>
        <v>李雪莲</v>
      </c>
    </row>
    <row r="374" ht="36" spans="1:10">
      <c r="A374" s="3">
        <v>372</v>
      </c>
      <c r="B374" s="3" t="str">
        <f>"122071400004"</f>
        <v>122071400004</v>
      </c>
      <c r="C374" s="3" t="str">
        <f>"杜悦"</f>
        <v>杜悦</v>
      </c>
      <c r="D374" s="3" t="str">
        <f>"女"</f>
        <v>女</v>
      </c>
      <c r="E374" s="3" t="str">
        <f>"统计学"</f>
        <v>统计学</v>
      </c>
      <c r="F374" s="3" t="str">
        <f>"数理统计原理"</f>
        <v>数理统计原理</v>
      </c>
      <c r="G374" s="3" t="str">
        <f>"大学科基础课"</f>
        <v>大学科基础课</v>
      </c>
      <c r="H374" s="3" t="str">
        <f>"周四第10，11，12节{第1-17周}"</f>
        <v>周四第10，11，12节{第1-17周}</v>
      </c>
      <c r="I374" s="3" t="str">
        <f>"统计学院"</f>
        <v>统计学院</v>
      </c>
      <c r="J374" s="3" t="str">
        <f>"陈磊"</f>
        <v>陈磊</v>
      </c>
    </row>
    <row r="375" ht="36" spans="1:10">
      <c r="A375" s="3">
        <v>373</v>
      </c>
      <c r="B375" s="3" t="str">
        <f>"123071400007"</f>
        <v>123071400007</v>
      </c>
      <c r="C375" s="3" t="str">
        <f>"王星"</f>
        <v>王星</v>
      </c>
      <c r="D375" s="3" t="str">
        <f>"男"</f>
        <v>男</v>
      </c>
      <c r="E375" s="3" t="str">
        <f>"统计学"</f>
        <v>统计学</v>
      </c>
      <c r="F375" s="3" t="str">
        <f>"大数据可视化"</f>
        <v>大数据可视化</v>
      </c>
      <c r="G375" s="3" t="str">
        <f>"专业方向课"</f>
        <v>专业方向课</v>
      </c>
      <c r="H375" s="3" t="str">
        <f>"周二第10，11，12节{第1-17周}"</f>
        <v>周二第10，11，12节{第1-17周}</v>
      </c>
      <c r="I375" s="3" t="str">
        <f>"统计学院"</f>
        <v>统计学院</v>
      </c>
      <c r="J375" s="3" t="str">
        <f>"李蔓"</f>
        <v>李蔓</v>
      </c>
    </row>
    <row r="376" ht="48" spans="1:10">
      <c r="A376" s="3">
        <v>374</v>
      </c>
      <c r="B376" s="3" t="str">
        <f>"223020208010"</f>
        <v>223020208010</v>
      </c>
      <c r="C376" s="3" t="str">
        <f>"赵越"</f>
        <v>赵越</v>
      </c>
      <c r="D376" s="3" t="str">
        <f>"女"</f>
        <v>女</v>
      </c>
      <c r="E376" s="3" t="str">
        <f>"统计学"</f>
        <v>统计学</v>
      </c>
      <c r="F376" s="3" t="str">
        <f>"统计学"</f>
        <v>统计学</v>
      </c>
      <c r="G376" s="3" t="str">
        <f>"大学科基础课"</f>
        <v>大学科基础课</v>
      </c>
      <c r="H376" s="3" t="str">
        <f>"周五第5，6节{第1-17周}，周五第7节{第1-17周}"</f>
        <v>周五第5，6节{第1-17周}，周五第7节{第1-17周}</v>
      </c>
      <c r="I376" s="3" t="str">
        <f>"统计学院"</f>
        <v>统计学院</v>
      </c>
      <c r="J376" s="3" t="str">
        <f>"夏怡凡"</f>
        <v>夏怡凡</v>
      </c>
    </row>
    <row r="377" ht="48" spans="1:10">
      <c r="A377" s="3">
        <v>375</v>
      </c>
      <c r="B377" s="3" t="str">
        <f>"223020104017"</f>
        <v>223020104017</v>
      </c>
      <c r="C377" s="3" t="str">
        <f>"高旗"</f>
        <v>高旗</v>
      </c>
      <c r="D377" s="3" t="str">
        <f>"女"</f>
        <v>女</v>
      </c>
      <c r="E377" s="3" t="str">
        <f>"西方经济学"</f>
        <v>西方经济学</v>
      </c>
      <c r="F377" s="3" t="str">
        <f>"宏观经济学"</f>
        <v>宏观经济学</v>
      </c>
      <c r="G377" s="3" t="str">
        <f>"专业必修课"</f>
        <v>专业必修课</v>
      </c>
      <c r="H377" s="3" t="str">
        <f>"周五第5，6节{第1-17周}，周五第7节{第1-17周}"</f>
        <v>周五第5，6节{第1-17周}，周五第7节{第1-17周}</v>
      </c>
      <c r="I377" s="3" t="str">
        <f>"经济学院"</f>
        <v>经济学院</v>
      </c>
      <c r="J377" s="3" t="str">
        <f>"戴薇"</f>
        <v>戴薇</v>
      </c>
    </row>
    <row r="378" ht="96" spans="1:10">
      <c r="A378" s="3">
        <v>376</v>
      </c>
      <c r="B378" s="3" t="str">
        <f>"2220202Z1022"</f>
        <v>2220202Z1022</v>
      </c>
      <c r="C378" s="3" t="str">
        <f>"何思淼"</f>
        <v>何思淼</v>
      </c>
      <c r="D378" s="3" t="str">
        <f>"男"</f>
        <v>男</v>
      </c>
      <c r="E378" s="3" t="str">
        <f>"数理金融学"</f>
        <v>数理金融学</v>
      </c>
      <c r="F378" s="3" t="str">
        <f>"高等数学Ⅱ"</f>
        <v>高等数学Ⅱ</v>
      </c>
      <c r="G378" s="3" t="str">
        <f>"通识基础课"</f>
        <v>通识基础课</v>
      </c>
      <c r="H378" s="3" t="str">
        <f>"周二第1，2节{第1-17周}，周四第6节{第1-17周}，周四第7节{第1-17周}，周四第8节{第1-17周}"</f>
        <v>周二第1，2节{第1-17周}，周四第6节{第1-17周}，周四第7节{第1-17周}，周四第8节{第1-17周}</v>
      </c>
      <c r="I378" s="3" t="str">
        <f>"数学学院"</f>
        <v>数学学院</v>
      </c>
      <c r="J378" s="3" t="str">
        <f>"蒲洋"</f>
        <v>蒲洋</v>
      </c>
    </row>
    <row r="379" ht="48" spans="1:10">
      <c r="A379" s="3">
        <v>377</v>
      </c>
      <c r="B379" s="3" t="str">
        <f>"224020104026"</f>
        <v>224020104026</v>
      </c>
      <c r="C379" s="3" t="str">
        <f>"刘璐"</f>
        <v>刘璐</v>
      </c>
      <c r="D379" s="3" t="str">
        <f>"女"</f>
        <v>女</v>
      </c>
      <c r="E379" s="3" t="str">
        <f>"西方经济学"</f>
        <v>西方经济学</v>
      </c>
      <c r="F379" s="3" t="str">
        <f>"微观经济学"</f>
        <v>微观经济学</v>
      </c>
      <c r="G379" s="3" t="str">
        <f>"学科基础课"</f>
        <v>学科基础课</v>
      </c>
      <c r="H379" s="3" t="str">
        <f>"周四第1，2节{第1-17周}，周四第3节{第1-17周}"</f>
        <v>周四第1，2节{第1-17周}，周四第3节{第1-17周}</v>
      </c>
      <c r="I379" s="3" t="str">
        <f>"经济学院"</f>
        <v>经济学院</v>
      </c>
      <c r="J379" s="3" t="str">
        <f>"袁正"</f>
        <v>袁正</v>
      </c>
    </row>
    <row r="380" ht="48" spans="1:10">
      <c r="A380" s="3">
        <v>378</v>
      </c>
      <c r="B380" s="3" t="str">
        <f>"1220202Z1003"</f>
        <v>1220202Z1003</v>
      </c>
      <c r="C380" s="3" t="str">
        <f>"黄红振"</f>
        <v>黄红振</v>
      </c>
      <c r="D380" s="3" t="str">
        <f>"男"</f>
        <v>男</v>
      </c>
      <c r="E380" s="3" t="str">
        <f>"数理金融学"</f>
        <v>数理金融学</v>
      </c>
      <c r="F380" s="3" t="str">
        <f>"多元微积分"</f>
        <v>多元微积分</v>
      </c>
      <c r="G380" s="3" t="str">
        <f>"通识基础课"</f>
        <v>通识基础课</v>
      </c>
      <c r="H380" s="3" t="str">
        <f>"周四第5，6节{第1-17周}，周四第7节{第1-17周}"</f>
        <v>周四第5，6节{第1-17周}，周四第7节{第1-17周}</v>
      </c>
      <c r="I380" s="3" t="s">
        <v>11</v>
      </c>
      <c r="J380" s="3" t="str">
        <f>"张文燕"</f>
        <v>张文燕</v>
      </c>
    </row>
    <row r="381" ht="72" spans="1:10">
      <c r="A381" s="3">
        <v>379</v>
      </c>
      <c r="B381" s="3" t="str">
        <f>"2240202Z1016"</f>
        <v>2240202Z1016</v>
      </c>
      <c r="C381" s="3" t="str">
        <f>"罗雨欣"</f>
        <v>罗雨欣</v>
      </c>
      <c r="D381" s="3" t="str">
        <f>"女"</f>
        <v>女</v>
      </c>
      <c r="E381" s="3" t="str">
        <f>"数理金融学"</f>
        <v>数理金融学</v>
      </c>
      <c r="F381" s="3" t="str">
        <f>"高等数学Ⅱ"</f>
        <v>高等数学Ⅱ</v>
      </c>
      <c r="G381" s="3" t="str">
        <f>"通识基础课"</f>
        <v>通识基础课</v>
      </c>
      <c r="H381" s="3" t="str">
        <f>"周二第3，4节{第1-17周}，周四第1，2节{第1-17周}，周四第3节{第1-17周}"</f>
        <v>周二第3，4节{第1-17周}，周四第1，2节{第1-17周}，周四第3节{第1-17周}</v>
      </c>
      <c r="I381" s="3" t="s">
        <v>11</v>
      </c>
      <c r="J381" s="3" t="str">
        <f>"王开弘"</f>
        <v>王开弘</v>
      </c>
    </row>
    <row r="382" ht="48" spans="1:10">
      <c r="A382" s="3">
        <v>380</v>
      </c>
      <c r="B382" s="3" t="str">
        <f>"121020205002"</f>
        <v>121020205002</v>
      </c>
      <c r="C382" s="3" t="str">
        <f>"杨越"</f>
        <v>杨越</v>
      </c>
      <c r="D382" s="3" t="str">
        <f>"女"</f>
        <v>女</v>
      </c>
      <c r="E382" s="3" t="str">
        <f>"产业经济学"</f>
        <v>产业经济学</v>
      </c>
      <c r="F382" s="3" t="str">
        <f>"微观经济学（英）"</f>
        <v>微观经济学（英）</v>
      </c>
      <c r="G382" s="3" t="str">
        <f>"学科基础课"</f>
        <v>学科基础课</v>
      </c>
      <c r="H382" s="3" t="str">
        <f>"周三第5，6节{第1-17周}，周三第7节{第1-17周}"</f>
        <v>周三第5，6节{第1-17周}，周三第7节{第1-17周}</v>
      </c>
      <c r="I382" s="3" t="str">
        <f>"工商管理学院"</f>
        <v>工商管理学院</v>
      </c>
      <c r="J382" s="3" t="str">
        <f>"丁玉莲"</f>
        <v>丁玉莲</v>
      </c>
    </row>
    <row r="383" ht="36" spans="1:10">
      <c r="A383" s="3">
        <v>381</v>
      </c>
      <c r="B383" s="3" t="str">
        <f>"121020104005"</f>
        <v>121020104005</v>
      </c>
      <c r="C383" s="3" t="str">
        <f>"洪威"</f>
        <v>洪威</v>
      </c>
      <c r="D383" s="3" t="str">
        <f>"男"</f>
        <v>男</v>
      </c>
      <c r="E383" s="3" t="str">
        <f>"西方经济学"</f>
        <v>西方经济学</v>
      </c>
      <c r="F383" s="3" t="str">
        <f>"统计学"</f>
        <v>统计学</v>
      </c>
      <c r="G383" s="3" t="str">
        <f>"大学科基础课"</f>
        <v>大学科基础课</v>
      </c>
      <c r="H383" s="3" t="str">
        <f>"周二第10，11，12节{第1-17周}"</f>
        <v>周二第10，11，12节{第1-17周}</v>
      </c>
      <c r="I383" s="3" t="str">
        <f>"统计学院"</f>
        <v>统计学院</v>
      </c>
      <c r="J383" s="3" t="str">
        <f>"李俭富"</f>
        <v>李俭富</v>
      </c>
    </row>
    <row r="384" ht="36" spans="1:10">
      <c r="A384" s="3">
        <v>382</v>
      </c>
      <c r="B384" s="3" t="str">
        <f>"122020208005"</f>
        <v>122020208005</v>
      </c>
      <c r="C384" s="3" t="str">
        <f>"任建梅"</f>
        <v>任建梅</v>
      </c>
      <c r="D384" s="3" t="str">
        <f>"女"</f>
        <v>女</v>
      </c>
      <c r="E384" s="3" t="str">
        <f>"统计学"</f>
        <v>统计学</v>
      </c>
      <c r="F384" s="3" t="str">
        <f>"数理统计（理）"</f>
        <v>数理统计（理）</v>
      </c>
      <c r="G384" s="3" t="str">
        <f>"大学科基础课"</f>
        <v>大学科基础课</v>
      </c>
      <c r="H384" s="3" t="str">
        <f>"周一第10，11，12节{第1-17周}"</f>
        <v>周一第10，11，12节{第1-17周}</v>
      </c>
      <c r="I384" s="3" t="str">
        <f>"统计学院"</f>
        <v>统计学院</v>
      </c>
      <c r="J384" s="3" t="str">
        <f>"马铁丰"</f>
        <v>马铁丰</v>
      </c>
    </row>
    <row r="385" ht="48" spans="1:10">
      <c r="A385" s="3">
        <v>383</v>
      </c>
      <c r="B385" s="3" t="str">
        <f>"222081202014"</f>
        <v>222081202014</v>
      </c>
      <c r="C385" s="3" t="str">
        <f>"张超"</f>
        <v>张超</v>
      </c>
      <c r="D385" s="3" t="str">
        <f>"男"</f>
        <v>男</v>
      </c>
      <c r="E385" s="3" t="str">
        <f>"计算机软件与理论"</f>
        <v>计算机软件与理论</v>
      </c>
      <c r="F385" s="3" t="str">
        <f>"程序设计及应用（Python）"</f>
        <v>程序设计及应用（Python）</v>
      </c>
      <c r="G385" s="3" t="str">
        <f>"通识基础课"</f>
        <v>通识基础课</v>
      </c>
      <c r="H385" s="3" t="str">
        <f>"周四第1，2节{第1-17周}，周四第3节{第1-17周}"</f>
        <v>周四第1，2节{第1-17周}，周四第3节{第1-17周}</v>
      </c>
      <c r="I385" s="3" t="s">
        <v>12</v>
      </c>
      <c r="J385" s="3" t="str">
        <f>"薛飞"</f>
        <v>薛飞</v>
      </c>
    </row>
    <row r="386" ht="36" spans="1:10">
      <c r="A386" s="3">
        <v>384</v>
      </c>
      <c r="B386" s="3" t="str">
        <f>"222081203007"</f>
        <v>222081203007</v>
      </c>
      <c r="C386" s="3" t="str">
        <f>"瓦云涛"</f>
        <v>瓦云涛</v>
      </c>
      <c r="D386" s="3" t="str">
        <f>"男"</f>
        <v>男</v>
      </c>
      <c r="E386" s="3" t="str">
        <f>"计算机应用技术"</f>
        <v>计算机应用技术</v>
      </c>
      <c r="F386" s="3" t="str">
        <f>"程序设计及应用（Python）"</f>
        <v>程序设计及应用（Python）</v>
      </c>
      <c r="G386" s="3" t="str">
        <f>"通识基础课"</f>
        <v>通识基础课</v>
      </c>
      <c r="H386" s="3" t="str">
        <f>"周一第10，11，12节{第1-17周}"</f>
        <v>周一第10，11，12节{第1-17周}</v>
      </c>
      <c r="I386" s="3" t="s">
        <v>12</v>
      </c>
      <c r="J386" s="3" t="str">
        <f>"薛飞"</f>
        <v>薛飞</v>
      </c>
    </row>
    <row r="387" ht="48" spans="1:10">
      <c r="A387" s="3">
        <v>385</v>
      </c>
      <c r="B387" s="3" t="str">
        <f>"1221202Z3002"</f>
        <v>1221202Z3002</v>
      </c>
      <c r="C387" s="3" t="str">
        <f>"李艳花"</f>
        <v>李艳花</v>
      </c>
      <c r="D387" s="3" t="str">
        <f>"女"</f>
        <v>女</v>
      </c>
      <c r="E387" s="3" t="str">
        <f>"经济信息技术及管理"</f>
        <v>经济信息技术及管理</v>
      </c>
      <c r="F387" s="3" t="str">
        <f>"人工智能导论"</f>
        <v>人工智能导论</v>
      </c>
      <c r="G387" s="3" t="str">
        <f>"专业必修课"</f>
        <v>专业必修课</v>
      </c>
      <c r="H387" s="3" t="str">
        <f>"周一第5，6节{第1-17周}，周一第7节{第1-17周}"</f>
        <v>周一第5，6节{第1-17周}，周一第7节{第1-17周}</v>
      </c>
      <c r="I387" s="3" t="str">
        <f>"计算机与人工智能学院"</f>
        <v>计算机与人工智能学院</v>
      </c>
      <c r="J387" s="3" t="str">
        <f>"邓烨"</f>
        <v>邓烨</v>
      </c>
    </row>
    <row r="388" ht="48" spans="1:10">
      <c r="A388" s="3">
        <v>386</v>
      </c>
      <c r="B388" s="3" t="str">
        <f>"124020209006"</f>
        <v>124020209006</v>
      </c>
      <c r="C388" s="3" t="str">
        <f>"陆凯"</f>
        <v>陆凯</v>
      </c>
      <c r="D388" s="3" t="str">
        <f>"男"</f>
        <v>男</v>
      </c>
      <c r="E388" s="3" t="str">
        <f>"数量经济学"</f>
        <v>数量经济学</v>
      </c>
      <c r="F388" s="3" t="str">
        <f>"程序设计与python应用"</f>
        <v>程序设计与python应用</v>
      </c>
      <c r="G388" s="3" t="str">
        <f>"通识基础课"</f>
        <v>通识基础课</v>
      </c>
      <c r="H388" s="3" t="str">
        <f>"周四第1，2节{第1-17周}，周四第3节{第1-17周}"</f>
        <v>周四第1，2节{第1-17周}，周四第3节{第1-17周}</v>
      </c>
      <c r="I388" s="3" t="str">
        <f>"管理科学与工程学院"</f>
        <v>管理科学与工程学院</v>
      </c>
      <c r="J388" s="3" t="str">
        <f>"卫柯臻"</f>
        <v>卫柯臻</v>
      </c>
    </row>
    <row r="389" spans="1:10">
      <c r="A389" s="3">
        <v>387</v>
      </c>
      <c r="B389" s="3" t="str">
        <f>"123020203001"</f>
        <v>123020203001</v>
      </c>
      <c r="C389" s="3" t="str">
        <f>"黄若瑶"</f>
        <v>黄若瑶</v>
      </c>
      <c r="D389" s="3" t="str">
        <f>"女"</f>
        <v>女</v>
      </c>
      <c r="E389" s="3" t="str">
        <f>"财政学"</f>
        <v>财政学</v>
      </c>
      <c r="F389" s="3" t="str">
        <f>"国家税收MOOC"</f>
        <v>国家税收MOOC</v>
      </c>
      <c r="G389" s="3" t="str">
        <f>"慕课"</f>
        <v>慕课</v>
      </c>
      <c r="H389" s="3" t="str">
        <f>"2025年3-6月"</f>
        <v>2025年3-6月</v>
      </c>
      <c r="I389" s="3" t="s">
        <v>13</v>
      </c>
      <c r="J389" s="3" t="str">
        <f>"郝晓薇"</f>
        <v>郝晓薇</v>
      </c>
    </row>
    <row r="390" ht="48" spans="1:10">
      <c r="A390" s="3">
        <v>388</v>
      </c>
      <c r="B390" s="3" t="str">
        <f>"223120201020"</f>
        <v>223120201020</v>
      </c>
      <c r="C390" s="3" t="str">
        <f>"李侠"</f>
        <v>李侠</v>
      </c>
      <c r="D390" s="3" t="str">
        <f>"女"</f>
        <v>女</v>
      </c>
      <c r="E390" s="3" t="str">
        <f>"会计学"</f>
        <v>会计学</v>
      </c>
      <c r="F390" s="3" t="str">
        <f>"会计学"</f>
        <v>会计学</v>
      </c>
      <c r="G390" s="3" t="str">
        <f>"学科基础课"</f>
        <v>学科基础课</v>
      </c>
      <c r="H390" s="3" t="str">
        <f>"周四第5，6节{第1-17周}，周四第7节{第1-17周}"</f>
        <v>周四第5，6节{第1-17周}，周四第7节{第1-17周}</v>
      </c>
      <c r="I390" s="3" t="str">
        <f>"会计学院"</f>
        <v>会计学院</v>
      </c>
      <c r="J390" s="3" t="str">
        <f>"张怡"</f>
        <v>张怡</v>
      </c>
    </row>
    <row r="391" ht="36" spans="1:10">
      <c r="A391" s="3">
        <v>389</v>
      </c>
      <c r="B391" s="3" t="str">
        <f>"2240202Z1011"</f>
        <v>2240202Z1011</v>
      </c>
      <c r="C391" s="3" t="str">
        <f>"张扬"</f>
        <v>张扬</v>
      </c>
      <c r="D391" s="3" t="str">
        <f>"女"</f>
        <v>女</v>
      </c>
      <c r="E391" s="3" t="str">
        <f>"数理金融学"</f>
        <v>数理金融学</v>
      </c>
      <c r="F391" s="3" t="str">
        <f>"程序设计与python应用"</f>
        <v>程序设计与python应用</v>
      </c>
      <c r="G391" s="3" t="str">
        <f>"通识基础课"</f>
        <v>通识基础课</v>
      </c>
      <c r="H391" s="3" t="str">
        <f>"周一第10，11，12节{第1-17周}"</f>
        <v>周一第10，11，12节{第1-17周}</v>
      </c>
      <c r="I391" s="3" t="str">
        <f>"管理科学与工程学院"</f>
        <v>管理科学与工程学院</v>
      </c>
      <c r="J391" s="3" t="str">
        <f>"李瑾坤"</f>
        <v>李瑾坤</v>
      </c>
    </row>
    <row r="392" ht="48" spans="1:10">
      <c r="A392" s="3">
        <v>390</v>
      </c>
      <c r="B392" s="3" t="str">
        <f>"1220202Z1009"</f>
        <v>1220202Z1009</v>
      </c>
      <c r="C392" s="3" t="str">
        <f>"孙溶镁"</f>
        <v>孙溶镁</v>
      </c>
      <c r="D392" s="3" t="str">
        <f>"女"</f>
        <v>女</v>
      </c>
      <c r="E392" s="3" t="str">
        <f>"数理金融学"</f>
        <v>数理金融学</v>
      </c>
      <c r="F392" s="3" t="str">
        <f>"概率论（理科）"</f>
        <v>概率论（理科）</v>
      </c>
      <c r="G392" s="3" t="str">
        <f>"通识基础课"</f>
        <v>通识基础课</v>
      </c>
      <c r="H392" s="3" t="str">
        <f>"周二第1，2节{第1-17周}，周四第1，2节{第1-17周}"</f>
        <v>周二第1，2节{第1-17周}，周四第1，2节{第1-17周}</v>
      </c>
      <c r="I392" s="3" t="s">
        <v>11</v>
      </c>
      <c r="J392" s="3" t="str">
        <f>"黄文毅"</f>
        <v>黄文毅</v>
      </c>
    </row>
    <row r="393" ht="48" spans="1:10">
      <c r="A393" s="3">
        <v>391</v>
      </c>
      <c r="B393" s="3" t="str">
        <f>"124120100009"</f>
        <v>124120100009</v>
      </c>
      <c r="C393" s="3" t="str">
        <f>"王莫"</f>
        <v>王莫</v>
      </c>
      <c r="D393" s="3" t="str">
        <f t="shared" ref="D393:D398" si="9">"男"</f>
        <v>男</v>
      </c>
      <c r="E393" s="3" t="str">
        <f>"管理科学与工程"</f>
        <v>管理科学与工程</v>
      </c>
      <c r="F393" s="3" t="str">
        <f>"数据分析（Python）（英）"</f>
        <v>数据分析（Python）（英）</v>
      </c>
      <c r="G393" s="3" t="str">
        <f>"专业方向课"</f>
        <v>专业方向课</v>
      </c>
      <c r="H393" s="3" t="str">
        <f>"周五第5，6节{第1-17周}，周五第7节{第1-17周}"</f>
        <v>周五第5，6节{第1-17周}，周五第7节{第1-17周}</v>
      </c>
      <c r="I393" s="3" t="str">
        <f>"管理科学与工程学院"</f>
        <v>管理科学与工程学院</v>
      </c>
      <c r="J393" s="3" t="str">
        <f>"刘凌"</f>
        <v>刘凌</v>
      </c>
    </row>
    <row r="394" ht="96" spans="1:10">
      <c r="A394" s="3">
        <v>392</v>
      </c>
      <c r="B394" s="3" t="str">
        <f>"123070100006"</f>
        <v>123070100006</v>
      </c>
      <c r="C394" s="3" t="str">
        <f>"吴健"</f>
        <v>吴健</v>
      </c>
      <c r="D394" s="3" t="str">
        <f t="shared" si="9"/>
        <v>男</v>
      </c>
      <c r="E394" s="3" t="str">
        <f>"数学"</f>
        <v>数学</v>
      </c>
      <c r="F394" s="3" t="str">
        <f>"数学分析II（英文）"</f>
        <v>数学分析II（英文）</v>
      </c>
      <c r="G394" s="3" t="str">
        <f>"通识基础课"</f>
        <v>通识基础课</v>
      </c>
      <c r="H394" s="3" t="str">
        <f>"周二第1，2节{第1-17周}，周二第3节{第1-17周}，周四第1，2节{第1-17周}，周四第3节{第1-17周}"</f>
        <v>周二第1，2节{第1-17周}，周二第3节{第1-17周}，周四第1，2节{第1-17周}，周四第3节{第1-17周}</v>
      </c>
      <c r="I394" s="3" t="s">
        <v>11</v>
      </c>
      <c r="J394" s="3" t="str">
        <f>"郭训香"</f>
        <v>郭训香</v>
      </c>
    </row>
    <row r="395" ht="24" spans="1:10">
      <c r="A395" s="3">
        <v>393</v>
      </c>
      <c r="B395" s="3" t="str">
        <f>"223081200034"</f>
        <v>223081200034</v>
      </c>
      <c r="C395" s="3" t="str">
        <f>"邓文扬"</f>
        <v>邓文扬</v>
      </c>
      <c r="D395" s="3" t="str">
        <f t="shared" si="9"/>
        <v>男</v>
      </c>
      <c r="E395" s="3" t="str">
        <f>"计算机科学与技术"</f>
        <v>计算机科学与技术</v>
      </c>
      <c r="F395" s="3" t="str">
        <f>"人工智能与现代科技"</f>
        <v>人工智能与现代科技</v>
      </c>
      <c r="G395" s="3" t="str">
        <f>"通识基础课"</f>
        <v>通识基础课</v>
      </c>
      <c r="H395" s="3" t="str">
        <f>"周五第3，4节{第1-17周}"</f>
        <v>周五第3，4节{第1-17周}</v>
      </c>
      <c r="I395" s="3" t="str">
        <f>"计算机与人工智能学院"</f>
        <v>计算机与人工智能学院</v>
      </c>
      <c r="J395" s="3" t="str">
        <f>"杨山田"</f>
        <v>杨山田</v>
      </c>
    </row>
    <row r="396" ht="48" spans="1:10">
      <c r="A396" s="3">
        <v>394</v>
      </c>
      <c r="B396" s="3" t="str">
        <f>"224070100008"</f>
        <v>224070100008</v>
      </c>
      <c r="C396" s="3" t="str">
        <f>"张若愚"</f>
        <v>张若愚</v>
      </c>
      <c r="D396" s="3" t="str">
        <f t="shared" si="9"/>
        <v>男</v>
      </c>
      <c r="E396" s="3" t="str">
        <f>"数学"</f>
        <v>数学</v>
      </c>
      <c r="F396" s="3" t="str">
        <f>"高等代数Ⅱ（理科）"</f>
        <v>高等代数Ⅱ（理科）</v>
      </c>
      <c r="G396" s="3" t="str">
        <f>"通识基础课"</f>
        <v>通识基础课</v>
      </c>
      <c r="H396" s="3" t="str">
        <f>"周一第1，2节{第1-17周}，周二第3，4节{第1-17周}"</f>
        <v>周一第1，2节{第1-17周}，周二第3，4节{第1-17周}</v>
      </c>
      <c r="I396" s="3" t="s">
        <v>11</v>
      </c>
      <c r="J396" s="3" t="str">
        <f>"赵建容"</f>
        <v>赵建容</v>
      </c>
    </row>
    <row r="397" ht="36" spans="1:10">
      <c r="A397" s="3">
        <v>395</v>
      </c>
      <c r="B397" s="3" t="str">
        <f>"122020101001"</f>
        <v>122020101001</v>
      </c>
      <c r="C397" s="3" t="str">
        <f>"张振继"</f>
        <v>张振继</v>
      </c>
      <c r="D397" s="3" t="str">
        <f t="shared" si="9"/>
        <v>男</v>
      </c>
      <c r="E397" s="3" t="str">
        <f>"政治经济学"</f>
        <v>政治经济学</v>
      </c>
      <c r="F397" s="3" t="str">
        <f>"宏观经济学"</f>
        <v>宏观经济学</v>
      </c>
      <c r="G397" s="3" t="str">
        <f>"学科基础课"</f>
        <v>学科基础课</v>
      </c>
      <c r="H397" s="3" t="str">
        <f>"周二第10，11，12节{第1-17周}"</f>
        <v>周二第10，11，12节{第1-17周}</v>
      </c>
      <c r="I397" s="3" t="str">
        <f>"经济学院"</f>
        <v>经济学院</v>
      </c>
      <c r="J397" s="3" t="str">
        <f>"杨慧玲"</f>
        <v>杨慧玲</v>
      </c>
    </row>
    <row r="398" ht="36" spans="1:10">
      <c r="A398" s="3">
        <v>396</v>
      </c>
      <c r="B398" s="3" t="str">
        <f>"123020105003"</f>
        <v>123020105003</v>
      </c>
      <c r="C398" s="3" t="str">
        <f>"胡硕"</f>
        <v>胡硕</v>
      </c>
      <c r="D398" s="3" t="str">
        <f t="shared" si="9"/>
        <v>男</v>
      </c>
      <c r="E398" s="3" t="str">
        <f>"世界经济"</f>
        <v>世界经济</v>
      </c>
      <c r="F398" s="3" t="str">
        <f>"宏观经济学"</f>
        <v>宏观经济学</v>
      </c>
      <c r="G398" s="3" t="str">
        <f>"大类平台课"</f>
        <v>大类平台课</v>
      </c>
      <c r="H398" s="3" t="str">
        <f>"周四第10，11，12节{第1-17周}"</f>
        <v>周四第10，11，12节{第1-17周}</v>
      </c>
      <c r="I398" s="3" t="str">
        <f>"经济学院"</f>
        <v>经济学院</v>
      </c>
      <c r="J398" s="3" t="str">
        <f>"王爱伦"</f>
        <v>王爱伦</v>
      </c>
    </row>
    <row r="399" ht="24" spans="1:10">
      <c r="A399" s="3">
        <v>397</v>
      </c>
      <c r="B399" s="3" t="str">
        <f>"123020204016"</f>
        <v>123020204016</v>
      </c>
      <c r="C399" s="3" t="str">
        <f>"黄睿玲"</f>
        <v>黄睿玲</v>
      </c>
      <c r="D399" s="3" t="str">
        <f>"女"</f>
        <v>女</v>
      </c>
      <c r="E399" s="3" t="str">
        <f>"金融学"</f>
        <v>金融学</v>
      </c>
      <c r="F399" s="3" t="str">
        <f>"R语言与金融数据挖掘MOOC"</f>
        <v>R语言与金融数据挖掘MOOC</v>
      </c>
      <c r="G399" s="3" t="str">
        <f>"慕课"</f>
        <v>慕课</v>
      </c>
      <c r="H399" s="3" t="str">
        <f>"2025年3-6月"</f>
        <v>2025年3-6月</v>
      </c>
      <c r="I399" s="3" t="str">
        <f>"金融学院"</f>
        <v>金融学院</v>
      </c>
      <c r="J399" s="3" t="str">
        <f>"申宇"</f>
        <v>申宇</v>
      </c>
    </row>
    <row r="400" ht="24" spans="1:10">
      <c r="A400" s="3">
        <v>398</v>
      </c>
      <c r="B400" s="3" t="str">
        <f>"124120201012"</f>
        <v>124120201012</v>
      </c>
      <c r="C400" s="3" t="str">
        <f>"姚晓玥"</f>
        <v>姚晓玥</v>
      </c>
      <c r="D400" s="3" t="str">
        <f>"女"</f>
        <v>女</v>
      </c>
      <c r="E400" s="3" t="str">
        <f>"会计学"</f>
        <v>会计学</v>
      </c>
      <c r="F400" s="3" t="str">
        <f>"The Principle of AuditingMOOC"</f>
        <v>The Principle of AuditingMOOC</v>
      </c>
      <c r="G400" s="3" t="str">
        <f>"慕课"</f>
        <v>慕课</v>
      </c>
      <c r="H400" s="3" t="str">
        <f>"2025年3-6月"</f>
        <v>2025年3-6月</v>
      </c>
      <c r="I400" s="3" t="str">
        <f>"会计学院"</f>
        <v>会计学院</v>
      </c>
      <c r="J400" s="3" t="str">
        <f>"李越冬"</f>
        <v>李越冬</v>
      </c>
    </row>
    <row r="401" spans="1:10">
      <c r="A401" s="3">
        <v>399</v>
      </c>
      <c r="B401" s="3" t="str">
        <f>"1241202Z7003"</f>
        <v>1241202Z7003</v>
      </c>
      <c r="C401" s="3" t="str">
        <f>"田博傲"</f>
        <v>田博傲</v>
      </c>
      <c r="D401" s="3" t="str">
        <f>"男"</f>
        <v>男</v>
      </c>
      <c r="E401" s="3" t="str">
        <f>"审计学"</f>
        <v>审计学</v>
      </c>
      <c r="F401" s="3" t="str">
        <f>"审计学MOOC"</f>
        <v>审计学MOOC</v>
      </c>
      <c r="G401" s="3" t="str">
        <f>"慕课"</f>
        <v>慕课</v>
      </c>
      <c r="H401" s="3" t="str">
        <f>"2025年3-6月"</f>
        <v>2025年3-6月</v>
      </c>
      <c r="I401" s="3" t="str">
        <f>"会计学院"</f>
        <v>会计学院</v>
      </c>
      <c r="J401" s="3" t="str">
        <f>"李越冬"</f>
        <v>李越冬</v>
      </c>
    </row>
    <row r="402" ht="36" spans="1:10">
      <c r="A402" s="3">
        <v>400</v>
      </c>
      <c r="B402" s="3" t="str">
        <f>"223020204100"</f>
        <v>223020204100</v>
      </c>
      <c r="C402" s="3" t="str">
        <f>"张业青"</f>
        <v>张业青</v>
      </c>
      <c r="D402" s="3" t="str">
        <f>"女"</f>
        <v>女</v>
      </c>
      <c r="E402" s="3" t="str">
        <f>"金融学"</f>
        <v>金融学</v>
      </c>
      <c r="F402" s="3" t="str">
        <f>"货币金融学"</f>
        <v>货币金融学</v>
      </c>
      <c r="G402" s="3" t="str">
        <f>"大学科基础课"</f>
        <v>大学科基础课</v>
      </c>
      <c r="H402" s="3" t="str">
        <f>"周四第10，11，12节{第1-17周}"</f>
        <v>周四第10，11，12节{第1-17周}</v>
      </c>
      <c r="I402" s="3" t="str">
        <f>"金融学院"</f>
        <v>金融学院</v>
      </c>
      <c r="J402" s="3" t="str">
        <f>"周丽晖"</f>
        <v>周丽晖</v>
      </c>
    </row>
    <row r="403" ht="84" spans="1:10">
      <c r="A403" s="3">
        <v>401</v>
      </c>
      <c r="B403" s="3" t="str">
        <f>"223020204050"</f>
        <v>223020204050</v>
      </c>
      <c r="C403" s="3" t="str">
        <f>"温新语"</f>
        <v>温新语</v>
      </c>
      <c r="D403" s="3" t="str">
        <f>"女"</f>
        <v>女</v>
      </c>
      <c r="E403" s="3" t="str">
        <f>"金融学"</f>
        <v>金融学</v>
      </c>
      <c r="F403" s="3" t="str">
        <f>"数学分析Ⅱ"</f>
        <v>数学分析Ⅱ</v>
      </c>
      <c r="G403" s="3" t="str">
        <f>"通识基础课"</f>
        <v>通识基础课</v>
      </c>
      <c r="H403" s="3" t="str">
        <f>"周二第10，11，12节{第1-17周}，周四第1，2节{第1-17周}，周四第3节{第1-17周}"</f>
        <v>周二第10，11，12节{第1-17周}，周四第1，2节{第1-17周}，周四第3节{第1-17周}</v>
      </c>
      <c r="I403" s="3" t="s">
        <v>11</v>
      </c>
      <c r="J403" s="3" t="str">
        <f>"邓汝良"</f>
        <v>邓汝良</v>
      </c>
    </row>
    <row r="404" ht="48" spans="1:10">
      <c r="A404" s="3">
        <v>402</v>
      </c>
      <c r="B404" s="3" t="str">
        <f>"223081200016"</f>
        <v>223081200016</v>
      </c>
      <c r="C404" s="3" t="str">
        <f>"魏儒"</f>
        <v>魏儒</v>
      </c>
      <c r="D404" s="3" t="str">
        <f>"男"</f>
        <v>男</v>
      </c>
      <c r="E404" s="3" t="str">
        <f>"计算机科学与技术"</f>
        <v>计算机科学与技术</v>
      </c>
      <c r="F404" s="3" t="str">
        <f>"操作系统"</f>
        <v>操作系统</v>
      </c>
      <c r="G404" s="3" t="str">
        <f>"大学科基础课"</f>
        <v>大学科基础课</v>
      </c>
      <c r="H404" s="3" t="str">
        <f>"周四第1，2节{第1-17周}，周四第3节{第1-17周}"</f>
        <v>周四第1，2节{第1-17周}，周四第3节{第1-17周}</v>
      </c>
      <c r="I404" s="3" t="str">
        <f>"计算机与人工智能学院"</f>
        <v>计算机与人工智能学院</v>
      </c>
      <c r="J404" s="3" t="str">
        <f>"占求港"</f>
        <v>占求港</v>
      </c>
    </row>
    <row r="405" ht="48" spans="1:10">
      <c r="A405" s="3">
        <v>403</v>
      </c>
      <c r="B405" s="3" t="str">
        <f>"123070100001"</f>
        <v>123070100001</v>
      </c>
      <c r="C405" s="3" t="str">
        <f>"吴建强"</f>
        <v>吴建强</v>
      </c>
      <c r="D405" s="3" t="str">
        <f>"男"</f>
        <v>男</v>
      </c>
      <c r="E405" s="3" t="str">
        <f>"数学"</f>
        <v>数学</v>
      </c>
      <c r="F405" s="3" t="str">
        <f>"程序设计及应用（Python）（英）"</f>
        <v>程序设计及应用（Python）（英）</v>
      </c>
      <c r="G405" s="3" t="str">
        <f>"通识基础课"</f>
        <v>通识基础课</v>
      </c>
      <c r="H405" s="3" t="str">
        <f>"周一第5，6节{第1-17周}，周一第7节{第1-17周}"</f>
        <v>周一第5，6节{第1-17周}，周一第7节{第1-17周}</v>
      </c>
      <c r="I405" s="3" t="str">
        <f>"管理科学与工程学院"</f>
        <v>管理科学与工程学院</v>
      </c>
      <c r="J405" s="3" t="str">
        <f>"马丹"</f>
        <v>马丹</v>
      </c>
    </row>
    <row r="406" ht="72" spans="1:10">
      <c r="A406" s="3">
        <v>404</v>
      </c>
      <c r="B406" s="3" t="str">
        <f>"224070100002"</f>
        <v>224070100002</v>
      </c>
      <c r="C406" s="3" t="str">
        <f>"梁宇欣"</f>
        <v>梁宇欣</v>
      </c>
      <c r="D406" s="3" t="str">
        <f>"女"</f>
        <v>女</v>
      </c>
      <c r="E406" s="3" t="str">
        <f>"数学"</f>
        <v>数学</v>
      </c>
      <c r="F406" s="3" t="str">
        <f>"高等代数（英文）"</f>
        <v>高等代数（英文）</v>
      </c>
      <c r="G406" s="3" t="str">
        <f>"通识基础课"</f>
        <v>通识基础课</v>
      </c>
      <c r="H406" s="3" t="str">
        <f>"周一第3，4节{第1-17周}，周三第7节{第1-17周}，周三第8，9节{第1-17周}"</f>
        <v>周一第3，4节{第1-17周}，周三第7节{第1-17周}，周三第8，9节{第1-17周}</v>
      </c>
      <c r="I406" s="3" t="s">
        <v>11</v>
      </c>
      <c r="J406" s="3" t="str">
        <f>"吕品"</f>
        <v>吕品</v>
      </c>
    </row>
    <row r="407" ht="24" spans="1:10">
      <c r="A407" s="3">
        <v>405</v>
      </c>
      <c r="B407" s="3" t="str">
        <f>"223030505012"</f>
        <v>223030505012</v>
      </c>
      <c r="C407" s="3" t="str">
        <f>"刘静"</f>
        <v>刘静</v>
      </c>
      <c r="D407" s="3" t="str">
        <f>"女"</f>
        <v>女</v>
      </c>
      <c r="E407" s="3" t="str">
        <f>"思想政治教育"</f>
        <v>思想政治教育</v>
      </c>
      <c r="F407" s="3" t="str">
        <f>"思想道德与法治"</f>
        <v>思想道德与法治</v>
      </c>
      <c r="G407" s="3" t="str">
        <f>"思想政治理论课"</f>
        <v>思想政治理论课</v>
      </c>
      <c r="H407" s="3" t="str">
        <f>"周五第8，9节{第1-17周}"</f>
        <v>周五第8，9节{第1-17周}</v>
      </c>
      <c r="I407" s="3" t="str">
        <f>"马克思主义学院"</f>
        <v>马克思主义学院</v>
      </c>
      <c r="J407" s="3" t="str">
        <f>"谭亚莉"</f>
        <v>谭亚莉</v>
      </c>
    </row>
    <row r="408" ht="24" spans="1:10">
      <c r="A408" s="3">
        <v>406</v>
      </c>
      <c r="B408" s="3" t="str">
        <f>"1221202Z9001"</f>
        <v>1221202Z9001</v>
      </c>
      <c r="C408" s="3" t="str">
        <f>"徐娟年"</f>
        <v>徐娟年</v>
      </c>
      <c r="D408" s="3" t="str">
        <f>"女"</f>
        <v>女</v>
      </c>
      <c r="E408" s="3" t="str">
        <f>"物流与供应链管理"</f>
        <v>物流与供应链管理</v>
      </c>
      <c r="F408" s="3" t="str">
        <f>"互联网+服务系统设计MOOC"</f>
        <v>互联网+服务系统设计MOOC</v>
      </c>
      <c r="G408" s="3" t="str">
        <f>"慕课"</f>
        <v>慕课</v>
      </c>
      <c r="H408" s="3" t="str">
        <f>"2025年3-6月"</f>
        <v>2025年3-6月</v>
      </c>
      <c r="I408" s="3" t="str">
        <f>"工商管理学院"</f>
        <v>工商管理学院</v>
      </c>
      <c r="J408" s="3" t="str">
        <f>"张汉鹏"</f>
        <v>张汉鹏</v>
      </c>
    </row>
    <row r="409" spans="1:10">
      <c r="A409" s="3">
        <v>407</v>
      </c>
      <c r="B409" s="3" t="str">
        <f>"1221202Z6005"</f>
        <v>1221202Z6005</v>
      </c>
      <c r="C409" s="3" t="str">
        <f>"方温柔"</f>
        <v>方温柔</v>
      </c>
      <c r="D409" s="3" t="str">
        <f>"女"</f>
        <v>女</v>
      </c>
      <c r="E409" s="3" t="str">
        <f>"财务管理"</f>
        <v>财务管理</v>
      </c>
      <c r="F409" s="3" t="str">
        <f>"初级财务会计(英)MOOC"</f>
        <v>初级财务会计(英)MOOC</v>
      </c>
      <c r="G409" s="3" t="str">
        <f>"慕课"</f>
        <v>慕课</v>
      </c>
      <c r="H409" s="3" t="str">
        <f>"2025年3-6月"</f>
        <v>2025年3-6月</v>
      </c>
      <c r="I409" s="3" t="str">
        <f>"会计学院"</f>
        <v>会计学院</v>
      </c>
      <c r="J409" s="3" t="str">
        <f>"赵尘"</f>
        <v>赵尘</v>
      </c>
    </row>
    <row r="410" ht="24" spans="1:10">
      <c r="A410" s="3">
        <v>408</v>
      </c>
      <c r="B410" s="3" t="str">
        <f>"122120204002"</f>
        <v>122120204002</v>
      </c>
      <c r="C410" s="3" t="str">
        <f>"杨杭生"</f>
        <v>杨杭生</v>
      </c>
      <c r="D410" s="3" t="str">
        <f>"男"</f>
        <v>男</v>
      </c>
      <c r="E410" s="3" t="str">
        <f>"技术经济及管理"</f>
        <v>技术经济及管理</v>
      </c>
      <c r="F410" s="3" t="str">
        <f>"商务智能MOOC"</f>
        <v>商务智能MOOC</v>
      </c>
      <c r="G410" s="3" t="str">
        <f>"慕课"</f>
        <v>慕课</v>
      </c>
      <c r="H410" s="3" t="str">
        <f>"2025年3-6月"</f>
        <v>2025年3-6月</v>
      </c>
      <c r="I410" s="3" t="str">
        <f>"管理科学与工程学院"</f>
        <v>管理科学与工程学院</v>
      </c>
      <c r="J410" s="3" t="str">
        <f>"李瑾坤"</f>
        <v>李瑾坤</v>
      </c>
    </row>
    <row r="411" ht="96" spans="1:10">
      <c r="A411" s="3">
        <v>409</v>
      </c>
      <c r="B411" s="3" t="str">
        <f>"121020208004"</f>
        <v>121020208004</v>
      </c>
      <c r="C411" s="3" t="str">
        <f>"余澜"</f>
        <v>余澜</v>
      </c>
      <c r="D411" s="3" t="str">
        <f>"男"</f>
        <v>男</v>
      </c>
      <c r="E411" s="3" t="str">
        <f>"统计学"</f>
        <v>统计学</v>
      </c>
      <c r="F411" s="3" t="str">
        <f>"数学分析Ⅱ（理科）"</f>
        <v>数学分析Ⅱ（理科）</v>
      </c>
      <c r="G411" s="3" t="str">
        <f>"通识基础课"</f>
        <v>通识基础课</v>
      </c>
      <c r="H411" s="3" t="str">
        <f>"周一第1，2节{第1-17周}，周一第3节{第1-17周}，周三第1，2节{第1-17周}，周三第3节{第1-17周}"</f>
        <v>周一第1，2节{第1-17周}，周一第3节{第1-17周}，周三第1，2节{第1-17周}，周三第3节{第1-17周}</v>
      </c>
      <c r="I411" s="3" t="s">
        <v>11</v>
      </c>
      <c r="J411" s="3" t="str">
        <f>"黎伟"</f>
        <v>黎伟</v>
      </c>
    </row>
    <row r="412" ht="36" spans="1:10">
      <c r="A412" s="3">
        <v>410</v>
      </c>
      <c r="B412" s="3" t="str">
        <f>"121020208005"</f>
        <v>121020208005</v>
      </c>
      <c r="C412" s="3" t="str">
        <f>"熊智临"</f>
        <v>熊智临</v>
      </c>
      <c r="D412" s="3" t="str">
        <f>"女"</f>
        <v>女</v>
      </c>
      <c r="E412" s="3" t="str">
        <f>"统计学"</f>
        <v>统计学</v>
      </c>
      <c r="F412" s="3" t="str">
        <f>"数理统计（理）"</f>
        <v>数理统计（理）</v>
      </c>
      <c r="G412" s="3" t="str">
        <f>"大学科基础课"</f>
        <v>大学科基础课</v>
      </c>
      <c r="H412" s="3" t="str">
        <f>"周二第10，11，12节{第1-17周}"</f>
        <v>周二第10，11，12节{第1-17周}</v>
      </c>
      <c r="I412" s="3" t="str">
        <f>"统计学院"</f>
        <v>统计学院</v>
      </c>
      <c r="J412" s="3" t="str">
        <f>"马铁丰"</f>
        <v>马铁丰</v>
      </c>
    </row>
    <row r="413" ht="36" spans="1:10">
      <c r="A413" s="3">
        <v>411</v>
      </c>
      <c r="B413" s="3" t="str">
        <f>"222070100019"</f>
        <v>222070100019</v>
      </c>
      <c r="C413" s="3" t="str">
        <f>"刘泠钰"</f>
        <v>刘泠钰</v>
      </c>
      <c r="D413" s="3" t="str">
        <f>"女"</f>
        <v>女</v>
      </c>
      <c r="E413" s="3" t="str">
        <f>"数学"</f>
        <v>数学</v>
      </c>
      <c r="F413" s="3" t="str">
        <f>"高等数学Ⅰ（重修）"</f>
        <v>高等数学Ⅰ（重修）</v>
      </c>
      <c r="G413" s="3" t="str">
        <f>"通识基础课"</f>
        <v>通识基础课</v>
      </c>
      <c r="H413" s="3" t="str">
        <f>"周三第10，11，12节{第6-16周}"</f>
        <v>周三第10，11，12节{第6-16周}</v>
      </c>
      <c r="I413" s="3" t="s">
        <v>11</v>
      </c>
      <c r="J413" s="3" t="str">
        <f>"王磊"</f>
        <v>王磊</v>
      </c>
    </row>
    <row r="414" ht="48" spans="1:10">
      <c r="A414" s="3">
        <v>412</v>
      </c>
      <c r="B414" s="3" t="str">
        <f>"224020209002"</f>
        <v>224020209002</v>
      </c>
      <c r="C414" s="3" t="str">
        <f>"范隆超"</f>
        <v>范隆超</v>
      </c>
      <c r="D414" s="3" t="str">
        <f>"男"</f>
        <v>男</v>
      </c>
      <c r="E414" s="3" t="str">
        <f>"数量经济学"</f>
        <v>数量经济学</v>
      </c>
      <c r="F414" s="3" t="str">
        <f>"统计学"</f>
        <v>统计学</v>
      </c>
      <c r="G414" s="3" t="str">
        <f>"大学科基础课"</f>
        <v>大学科基础课</v>
      </c>
      <c r="H414" s="3" t="str">
        <f>"周一第5，6节{第1-17周}，周一第7节{第1-17周}"</f>
        <v>周一第5，6节{第1-17周}，周一第7节{第1-17周}</v>
      </c>
      <c r="I414" s="3" t="str">
        <f>"统计学院"</f>
        <v>统计学院</v>
      </c>
      <c r="J414" s="3" t="str">
        <f>"黎春"</f>
        <v>黎春</v>
      </c>
    </row>
  </sheetData>
  <autoFilter ref="A2:J414"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myexcel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刘振东</cp:lastModifiedBy>
  <dcterms:created xsi:type="dcterms:W3CDTF">2025-01-17T08:16:00Z</dcterms:created>
  <dcterms:modified xsi:type="dcterms:W3CDTF">2025-01-17T08:36:27Z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DB559E33DD544ADDAA28936D08253087</vt:lpwstr>
  </property>
</Properties>
</file>