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myexcel (4)" sheetId="1" r:id="rId1"/>
  </sheets>
  <definedNames>
    <definedName name="_xlnm._FilterDatabase" localSheetId="0" hidden="1">'myexcel (4)'!$A$1:$I$372</definedName>
  </definedNames>
  <calcPr calcId="144525"/>
</workbook>
</file>

<file path=xl/sharedStrings.xml><?xml version="1.0" encoding="utf-8"?>
<sst xmlns="http://schemas.openxmlformats.org/spreadsheetml/2006/main" count="405" uniqueCount="53">
  <si>
    <t>附件1：2023-2024-2学期本科课程教学助理试用期考核表</t>
  </si>
  <si>
    <t>序号</t>
  </si>
  <si>
    <t>开课学院</t>
  </si>
  <si>
    <t>课程名称</t>
  </si>
  <si>
    <t>课程类型</t>
  </si>
  <si>
    <t>老师姓名</t>
  </si>
  <si>
    <t>助理姓名</t>
  </si>
  <si>
    <t>学号</t>
  </si>
  <si>
    <t>教师评价结果</t>
  </si>
  <si>
    <t>学院评价结果</t>
  </si>
  <si>
    <t>财政税务学院</t>
  </si>
  <si>
    <t>法学院</t>
  </si>
  <si>
    <t>工商管理学院</t>
  </si>
  <si>
    <t>管理科学与工程学院</t>
  </si>
  <si>
    <t>国际商学院</t>
  </si>
  <si>
    <t>会计学院</t>
  </si>
  <si>
    <t>计算机与人工智能学院</t>
  </si>
  <si>
    <t>金融学院</t>
  </si>
  <si>
    <t>经济学院</t>
  </si>
  <si>
    <t>会计学（中外合作办学）项目</t>
  </si>
  <si>
    <t>经济与管理研究院</t>
  </si>
  <si>
    <t>马克思主义学院</t>
  </si>
  <si>
    <t>数学学院</t>
  </si>
  <si>
    <t>特拉华数据科学学院</t>
  </si>
  <si>
    <t>统计学院</t>
  </si>
  <si>
    <t>外国语学院</t>
  </si>
  <si>
    <t>学生职业规划与就业指导中心</t>
  </si>
  <si>
    <t>中级财务会计MOOC</t>
  </si>
  <si>
    <t>慕课</t>
  </si>
  <si>
    <t>王雪</t>
  </si>
  <si>
    <t>赵薇</t>
  </si>
  <si>
    <t>122020203006</t>
  </si>
  <si>
    <t>管理学原理（英）</t>
  </si>
  <si>
    <t>大学科基础课</t>
  </si>
  <si>
    <t>唐明凤</t>
  </si>
  <si>
    <t>罗淇心</t>
  </si>
  <si>
    <t>223120202024</t>
  </si>
  <si>
    <t>张娅坤</t>
  </si>
  <si>
    <t>122120202006</t>
  </si>
  <si>
    <t>微观经济学（英）</t>
  </si>
  <si>
    <t>刘忠</t>
  </si>
  <si>
    <t>张恬</t>
  </si>
  <si>
    <t>121020104012</t>
  </si>
  <si>
    <t>数据库原理与应用</t>
  </si>
  <si>
    <t>专业必修课</t>
  </si>
  <si>
    <t>马丹</t>
  </si>
  <si>
    <t>张淑静</t>
  </si>
  <si>
    <t>123020203006</t>
  </si>
  <si>
    <t>程序设计及应用（Python）</t>
  </si>
  <si>
    <t>通识基础课</t>
  </si>
  <si>
    <t>张英</t>
  </si>
  <si>
    <t>李钰琪</t>
  </si>
  <si>
    <t>122020204009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</si>
</sst>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2"/>
  <sheetViews>
    <sheetView showGridLines="0" tabSelected="1" zoomScale="85" zoomScaleNormal="85" zoomScaleSheetLayoutView="60" workbookViewId="0">
      <selection activeCell="G11" sqref="G11"/>
    </sheetView>
  </sheetViews>
  <sheetFormatPr defaultColWidth="9" defaultRowHeight="13.5"/>
  <cols>
    <col min="1" max="1" width="7.25" style="2" customWidth="1"/>
    <col min="2" max="2" width="15.75" style="2" customWidth="1"/>
    <col min="3" max="3" width="18.5" style="2" customWidth="1"/>
    <col min="4" max="4" width="11.25" style="2" customWidth="1"/>
    <col min="5" max="5" width="10.625" style="2" customWidth="1"/>
    <col min="6" max="6" width="10.375" style="2" customWidth="1"/>
    <col min="7" max="7" width="17" style="2" customWidth="1"/>
    <col min="8" max="8" width="16.75" customWidth="1"/>
    <col min="9" max="9" width="16.625" customWidth="1"/>
  </cols>
  <sheetData>
    <row r="1" ht="49" customHeight="1" spans="1:9">
      <c r="A1" s="3" t="s">
        <v>0</v>
      </c>
      <c r="B1" s="4"/>
      <c r="C1" s="4"/>
      <c r="D1" s="4"/>
      <c r="E1" s="4"/>
      <c r="F1" s="4"/>
      <c r="G1" s="4"/>
      <c r="H1" s="4"/>
      <c r="I1" s="8"/>
    </row>
    <row r="2" s="1" customFormat="1" ht="18.75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18.75" spans="1:9">
      <c r="A3" s="6">
        <v>1</v>
      </c>
      <c r="B3" s="6" t="str">
        <f>"财政税务学院"</f>
        <v>财政税务学院</v>
      </c>
      <c r="C3" s="6" t="str">
        <f>"国家税收MOOC"</f>
        <v>国家税收MOOC</v>
      </c>
      <c r="D3" s="6" t="str">
        <f>"慕课"</f>
        <v>慕课</v>
      </c>
      <c r="E3" s="6" t="str">
        <f>"郝晓薇"</f>
        <v>郝晓薇</v>
      </c>
      <c r="F3" s="6" t="str">
        <f>"刘温怡"</f>
        <v>刘温怡</v>
      </c>
      <c r="G3" s="6" t="str">
        <f>"2220202Z6004"</f>
        <v>2220202Z6004</v>
      </c>
      <c r="H3" s="7"/>
      <c r="I3" s="7"/>
    </row>
    <row r="4" ht="18.75" spans="1:9">
      <c r="A4" s="6">
        <v>2</v>
      </c>
      <c r="B4" s="6" t="s">
        <v>10</v>
      </c>
      <c r="C4" s="6" t="str">
        <f>"税法MOOC"</f>
        <v>税法MOOC</v>
      </c>
      <c r="D4" s="6" t="str">
        <f>"慕课"</f>
        <v>慕课</v>
      </c>
      <c r="E4" s="6" t="str">
        <f>"吕敏"</f>
        <v>吕敏</v>
      </c>
      <c r="F4" s="6" t="str">
        <f>"马雪薇"</f>
        <v>马雪薇</v>
      </c>
      <c r="G4" s="6" t="str">
        <f>"1220202Z6002"</f>
        <v>1220202Z6002</v>
      </c>
      <c r="H4" s="7"/>
      <c r="I4" s="7"/>
    </row>
    <row r="5" ht="18.75" spans="1:9">
      <c r="A5" s="6">
        <v>3</v>
      </c>
      <c r="B5" s="6" t="s">
        <v>10</v>
      </c>
      <c r="C5" s="6" t="str">
        <f>"财政学MOOC"</f>
        <v>财政学MOOC</v>
      </c>
      <c r="D5" s="6" t="str">
        <f>"慕课"</f>
        <v>慕课</v>
      </c>
      <c r="E5" s="6" t="str">
        <f>"周克清"</f>
        <v>周克清</v>
      </c>
      <c r="F5" s="6" t="str">
        <f>"陈凤锦"</f>
        <v>陈凤锦</v>
      </c>
      <c r="G5" s="6" t="str">
        <f>"123020203003"</f>
        <v>123020203003</v>
      </c>
      <c r="H5" s="7"/>
      <c r="I5" s="7"/>
    </row>
    <row r="6" ht="18.75" spans="1:9">
      <c r="A6" s="6">
        <v>4</v>
      </c>
      <c r="B6" s="6" t="s">
        <v>10</v>
      </c>
      <c r="C6" s="6" t="str">
        <f>"国际税收MOOC"</f>
        <v>国际税收MOOC</v>
      </c>
      <c r="D6" s="6" t="str">
        <f>"慕课"</f>
        <v>慕课</v>
      </c>
      <c r="E6" s="6" t="str">
        <f>"张伦伦"</f>
        <v>张伦伦</v>
      </c>
      <c r="F6" s="6" t="str">
        <f>"高原"</f>
        <v>高原</v>
      </c>
      <c r="G6" s="6" t="str">
        <f>"1230202Z6001"</f>
        <v>1230202Z6001</v>
      </c>
      <c r="H6" s="7"/>
      <c r="I6" s="7"/>
    </row>
    <row r="7" ht="37.5" spans="1:9">
      <c r="A7" s="6">
        <v>5</v>
      </c>
      <c r="B7" s="6" t="s">
        <v>10</v>
      </c>
      <c r="C7" s="6" t="str">
        <f>"中级微观经济学"</f>
        <v>中级微观经济学</v>
      </c>
      <c r="D7" s="6" t="str">
        <f>"专业方向课"</f>
        <v>专业方向课</v>
      </c>
      <c r="E7" s="6" t="str">
        <f>"黄策"</f>
        <v>黄策</v>
      </c>
      <c r="F7" s="6" t="str">
        <f>"肖月"</f>
        <v>肖月</v>
      </c>
      <c r="G7" s="6" t="str">
        <f>"2220202Z6009"</f>
        <v>2220202Z6009</v>
      </c>
      <c r="H7" s="7"/>
      <c r="I7" s="7"/>
    </row>
    <row r="8" ht="18.75" spans="1:9">
      <c r="A8" s="6">
        <v>6</v>
      </c>
      <c r="B8" s="6" t="s">
        <v>10</v>
      </c>
      <c r="C8" s="6" t="str">
        <f>"政府会计学MOOC"</f>
        <v>政府会计学MOOC</v>
      </c>
      <c r="D8" s="6" t="str">
        <f>"慕课"</f>
        <v>慕课</v>
      </c>
      <c r="E8" s="6" t="str">
        <f>"周克清"</f>
        <v>周克清</v>
      </c>
      <c r="F8" s="6" t="str">
        <f>"吴近平"</f>
        <v>吴近平</v>
      </c>
      <c r="G8" s="6" t="str">
        <f>"121020203007"</f>
        <v>121020203007</v>
      </c>
      <c r="H8" s="7"/>
      <c r="I8" s="7"/>
    </row>
    <row r="9" ht="37.5" spans="1:9">
      <c r="A9" s="6">
        <v>7</v>
      </c>
      <c r="B9" s="6" t="s">
        <v>11</v>
      </c>
      <c r="C9" s="6" t="str">
        <f>"经济法"</f>
        <v>经济法</v>
      </c>
      <c r="D9" s="6" t="str">
        <f>"大学科基础课"</f>
        <v>大学科基础课</v>
      </c>
      <c r="E9" s="6" t="str">
        <f>"王伦刚"</f>
        <v>王伦刚</v>
      </c>
      <c r="F9" s="6" t="str">
        <f>"夏英杰"</f>
        <v>夏英杰</v>
      </c>
      <c r="G9" s="6" t="str">
        <f>"222030107007"</f>
        <v>222030107007</v>
      </c>
      <c r="H9" s="7"/>
      <c r="I9" s="7"/>
    </row>
    <row r="10" ht="37.5" spans="1:9">
      <c r="A10" s="6">
        <v>8</v>
      </c>
      <c r="B10" s="6" t="s">
        <v>12</v>
      </c>
      <c r="C10" s="6" t="str">
        <f>"微观经济学"</f>
        <v>微观经济学</v>
      </c>
      <c r="D10" s="6" t="str">
        <f>"大学科基础课"</f>
        <v>大学科基础课</v>
      </c>
      <c r="E10" s="6" t="str">
        <f>"袁鹏"</f>
        <v>袁鹏</v>
      </c>
      <c r="F10" s="6" t="str">
        <f>"邱露"</f>
        <v>邱露</v>
      </c>
      <c r="G10" s="6" t="str">
        <f>"222020205010"</f>
        <v>222020205010</v>
      </c>
      <c r="H10" s="7"/>
      <c r="I10" s="7"/>
    </row>
    <row r="11" ht="37.5" spans="1:9">
      <c r="A11" s="6">
        <v>9</v>
      </c>
      <c r="B11" s="6" t="s">
        <v>12</v>
      </c>
      <c r="C11" s="6" t="str">
        <f>"市场营销学"</f>
        <v>市场营销学</v>
      </c>
      <c r="D11" s="6" t="str">
        <f>"自由选修课"</f>
        <v>自由选修课</v>
      </c>
      <c r="E11" s="6" t="str">
        <f>"白璇"</f>
        <v>白璇</v>
      </c>
      <c r="F11" s="6" t="str">
        <f>"张祺"</f>
        <v>张祺</v>
      </c>
      <c r="G11" s="6" t="str">
        <f>"1211202Z5003"</f>
        <v>1211202Z5003</v>
      </c>
      <c r="H11" s="7"/>
      <c r="I11" s="7"/>
    </row>
    <row r="12" ht="37.5" spans="1:9">
      <c r="A12" s="6">
        <v>10</v>
      </c>
      <c r="B12" s="6" t="s">
        <v>12</v>
      </c>
      <c r="C12" s="6" t="str">
        <f>"微观经济学"</f>
        <v>微观经济学</v>
      </c>
      <c r="D12" s="6" t="str">
        <f>"大学科基础课"</f>
        <v>大学科基础课</v>
      </c>
      <c r="E12" s="6" t="str">
        <f>"袁鹏"</f>
        <v>袁鹏</v>
      </c>
      <c r="F12" s="6" t="str">
        <f>"徐轲凡"</f>
        <v>徐轲凡</v>
      </c>
      <c r="G12" s="6" t="str">
        <f>"123020205001"</f>
        <v>123020205001</v>
      </c>
      <c r="H12" s="7"/>
      <c r="I12" s="7"/>
    </row>
    <row r="13" ht="37.5" spans="1:9">
      <c r="A13" s="6">
        <v>11</v>
      </c>
      <c r="B13" s="6" t="s">
        <v>12</v>
      </c>
      <c r="C13" s="6" t="str">
        <f>"互联网+服务系统设计MOOC"</f>
        <v>互联网+服务系统设计MOOC</v>
      </c>
      <c r="D13" s="6" t="str">
        <f>"慕课"</f>
        <v>慕课</v>
      </c>
      <c r="E13" s="6" t="str">
        <f>"张汉鹏"</f>
        <v>张汉鹏</v>
      </c>
      <c r="F13" s="6" t="str">
        <f>"张凤珊"</f>
        <v>张凤珊</v>
      </c>
      <c r="G13" s="6" t="str">
        <f>"2221202Z9001"</f>
        <v>2221202Z9001</v>
      </c>
      <c r="H13" s="7"/>
      <c r="I13" s="7"/>
    </row>
    <row r="14" ht="37.5" spans="1:9">
      <c r="A14" s="6">
        <v>12</v>
      </c>
      <c r="B14" s="6" t="s">
        <v>12</v>
      </c>
      <c r="C14" s="6" t="str">
        <f>"微观经济学"</f>
        <v>微观经济学</v>
      </c>
      <c r="D14" s="6" t="str">
        <f>"大学科基础课"</f>
        <v>大学科基础课</v>
      </c>
      <c r="E14" s="6" t="str">
        <f>"蒋玉"</f>
        <v>蒋玉</v>
      </c>
      <c r="F14" s="6" t="str">
        <f>"李丹阳"</f>
        <v>李丹阳</v>
      </c>
      <c r="G14" s="6" t="str">
        <f>"223120301001"</f>
        <v>223120301001</v>
      </c>
      <c r="H14" s="7"/>
      <c r="I14" s="7"/>
    </row>
    <row r="15" ht="37.5" spans="1:9">
      <c r="A15" s="6">
        <v>13</v>
      </c>
      <c r="B15" s="6" t="s">
        <v>12</v>
      </c>
      <c r="C15" s="6" t="str">
        <f>"微观经济学（英）"</f>
        <v>微观经济学（英）</v>
      </c>
      <c r="D15" s="6" t="str">
        <f>"大学科基础课"</f>
        <v>大学科基础课</v>
      </c>
      <c r="E15" s="6" t="str">
        <f>"董大鑫"</f>
        <v>董大鑫</v>
      </c>
      <c r="F15" s="6" t="str">
        <f>"周丽惠"</f>
        <v>周丽惠</v>
      </c>
      <c r="G15" s="6" t="str">
        <f>"222020205005"</f>
        <v>222020205005</v>
      </c>
      <c r="H15" s="7"/>
      <c r="I15" s="7"/>
    </row>
    <row r="16" ht="18.75" spans="1:9">
      <c r="A16" s="6">
        <v>14</v>
      </c>
      <c r="B16" s="6" t="s">
        <v>12</v>
      </c>
      <c r="C16" s="6" t="str">
        <f>"市场营销学MOOC"</f>
        <v>市场营销学MOOC</v>
      </c>
      <c r="D16" s="6" t="str">
        <f>"慕课"</f>
        <v>慕课</v>
      </c>
      <c r="E16" s="6" t="str">
        <f>"白璇"</f>
        <v>白璇</v>
      </c>
      <c r="F16" s="6" t="str">
        <f>"袁川鸿"</f>
        <v>袁川鸿</v>
      </c>
      <c r="G16" s="6" t="str">
        <f>"1221202Z5001"</f>
        <v>1221202Z5001</v>
      </c>
      <c r="H16" s="7"/>
      <c r="I16" s="7"/>
    </row>
    <row r="17" ht="37.5" spans="1:9">
      <c r="A17" s="6">
        <v>15</v>
      </c>
      <c r="B17" s="6" t="s">
        <v>12</v>
      </c>
      <c r="C17" s="6" t="str">
        <f>"微观经济学（英）"</f>
        <v>微观经济学（英）</v>
      </c>
      <c r="D17" s="6" t="str">
        <f>"大学科基础课"</f>
        <v>大学科基础课</v>
      </c>
      <c r="E17" s="6" t="str">
        <f>"董大鑫"</f>
        <v>董大鑫</v>
      </c>
      <c r="F17" s="6" t="str">
        <f>"孔维康"</f>
        <v>孔维康</v>
      </c>
      <c r="G17" s="6" t="str">
        <f>"223020205007"</f>
        <v>223020205007</v>
      </c>
      <c r="H17" s="7"/>
      <c r="I17" s="7"/>
    </row>
    <row r="18" ht="37.5" spans="1:9">
      <c r="A18" s="6">
        <v>16</v>
      </c>
      <c r="B18" s="6" t="str">
        <f>"工商管理学院"</f>
        <v>工商管理学院</v>
      </c>
      <c r="C18" s="6" t="str">
        <f>"微观经济学（英）"</f>
        <v>微观经济学（英）</v>
      </c>
      <c r="D18" s="6" t="str">
        <f>"大学科基础课"</f>
        <v>大学科基础课</v>
      </c>
      <c r="E18" s="6" t="str">
        <f>"董大鑫"</f>
        <v>董大鑫</v>
      </c>
      <c r="F18" s="6" t="str">
        <f>"朱宏杨"</f>
        <v>朱宏杨</v>
      </c>
      <c r="G18" s="6" t="str">
        <f>"222020205001"</f>
        <v>222020205001</v>
      </c>
      <c r="H18" s="7"/>
      <c r="I18" s="7"/>
    </row>
    <row r="19" ht="37.5" spans="1:9">
      <c r="A19" s="6">
        <v>17</v>
      </c>
      <c r="B19" s="6" t="s">
        <v>12</v>
      </c>
      <c r="C19" s="6" t="str">
        <f>"微观经济学"</f>
        <v>微观经济学</v>
      </c>
      <c r="D19" s="6" t="str">
        <f>"大学科基础课"</f>
        <v>大学科基础课</v>
      </c>
      <c r="E19" s="6" t="str">
        <f>"蒋玉"</f>
        <v>蒋玉</v>
      </c>
      <c r="F19" s="6" t="str">
        <f>"何坤泽"</f>
        <v>何坤泽</v>
      </c>
      <c r="G19" s="6" t="str">
        <f>"2221203Z1001"</f>
        <v>2221203Z1001</v>
      </c>
      <c r="H19" s="7"/>
      <c r="I19" s="7"/>
    </row>
    <row r="20" ht="37.5" spans="1:9">
      <c r="A20" s="6">
        <v>18</v>
      </c>
      <c r="B20" s="6" t="s">
        <v>12</v>
      </c>
      <c r="C20" s="6" t="str">
        <f>"微观经济学"</f>
        <v>微观经济学</v>
      </c>
      <c r="D20" s="6" t="str">
        <f>"大学科基础课"</f>
        <v>大学科基础课</v>
      </c>
      <c r="E20" s="6" t="str">
        <f>"李起铨"</f>
        <v>李起铨</v>
      </c>
      <c r="F20" s="6" t="str">
        <f>"田娇"</f>
        <v>田娇</v>
      </c>
      <c r="G20" s="6" t="str">
        <f>"1230202J4006"</f>
        <v>1230202J4006</v>
      </c>
      <c r="H20" s="7"/>
      <c r="I20" s="7"/>
    </row>
    <row r="21" ht="37.5" spans="1:9">
      <c r="A21" s="6">
        <v>19</v>
      </c>
      <c r="B21" s="6" t="s">
        <v>12</v>
      </c>
      <c r="C21" s="6" t="str">
        <f>"微观经济学"</f>
        <v>微观经济学</v>
      </c>
      <c r="D21" s="6" t="str">
        <f>"大学科基础课"</f>
        <v>大学科基础课</v>
      </c>
      <c r="E21" s="6" t="str">
        <f>"秦志龙"</f>
        <v>秦志龙</v>
      </c>
      <c r="F21" s="6" t="str">
        <f>"冯静"</f>
        <v>冯静</v>
      </c>
      <c r="G21" s="6" t="str">
        <f>"123120201011"</f>
        <v>123120201011</v>
      </c>
      <c r="H21" s="7"/>
      <c r="I21" s="7"/>
    </row>
    <row r="22" ht="37.5" spans="1:9">
      <c r="A22" s="6">
        <v>20</v>
      </c>
      <c r="B22" s="6" t="s">
        <v>12</v>
      </c>
      <c r="C22" s="6" t="str">
        <f>"产业理论与行业分析MOOC"</f>
        <v>产业理论与行业分析MOOC</v>
      </c>
      <c r="D22" s="6" t="str">
        <f>"慕课"</f>
        <v>慕课</v>
      </c>
      <c r="E22" s="6" t="str">
        <f>"杜蕾"</f>
        <v>杜蕾</v>
      </c>
      <c r="F22" s="6" t="str">
        <f>"王倩"</f>
        <v>王倩</v>
      </c>
      <c r="G22" s="6" t="str">
        <f>"223020205004"</f>
        <v>223020205004</v>
      </c>
      <c r="H22" s="7"/>
      <c r="I22" s="7"/>
    </row>
    <row r="23" ht="37.5" spans="1:9">
      <c r="A23" s="6">
        <v>21</v>
      </c>
      <c r="B23" s="6" t="s">
        <v>12</v>
      </c>
      <c r="C23" s="6" t="str">
        <f>"微观经济学"</f>
        <v>微观经济学</v>
      </c>
      <c r="D23" s="6" t="str">
        <f>"大学科基础课"</f>
        <v>大学科基础课</v>
      </c>
      <c r="E23" s="6" t="str">
        <f>"李起铨"</f>
        <v>李起铨</v>
      </c>
      <c r="F23" s="6" t="str">
        <f>"张健"</f>
        <v>张健</v>
      </c>
      <c r="G23" s="6" t="str">
        <f>"1200201Z2002"</f>
        <v>1200201Z2002</v>
      </c>
      <c r="H23" s="7"/>
      <c r="I23" s="7"/>
    </row>
    <row r="24" ht="37.5" spans="1:9">
      <c r="A24" s="6">
        <v>22</v>
      </c>
      <c r="B24" s="6" t="s">
        <v>12</v>
      </c>
      <c r="C24" s="6" t="str">
        <f>"微观经济学（英）"</f>
        <v>微观经济学（英）</v>
      </c>
      <c r="D24" s="6" t="str">
        <f>"大学科基础课"</f>
        <v>大学科基础课</v>
      </c>
      <c r="E24" s="6" t="str">
        <f>"董大鑫"</f>
        <v>董大鑫</v>
      </c>
      <c r="F24" s="6" t="str">
        <f>"王东艳"</f>
        <v>王东艳</v>
      </c>
      <c r="G24" s="6" t="str">
        <f>"222020205003"</f>
        <v>222020205003</v>
      </c>
      <c r="H24" s="7"/>
      <c r="I24" s="7"/>
    </row>
    <row r="25" ht="37.5" spans="1:9">
      <c r="A25" s="6">
        <v>23</v>
      </c>
      <c r="B25" s="6" t="s">
        <v>12</v>
      </c>
      <c r="C25" s="6" t="str">
        <f>"绩效与薪酬管理MOOC"</f>
        <v>绩效与薪酬管理MOOC</v>
      </c>
      <c r="D25" s="6" t="str">
        <f>"慕课"</f>
        <v>慕课</v>
      </c>
      <c r="E25" s="6" t="str">
        <f>"郭志刚"</f>
        <v>郭志刚</v>
      </c>
      <c r="F25" s="6" t="str">
        <f>"杨丽芸"</f>
        <v>杨丽芸</v>
      </c>
      <c r="G25" s="6" t="str">
        <f>"2231202Z2019"</f>
        <v>2231202Z2019</v>
      </c>
      <c r="H25" s="7"/>
      <c r="I25" s="7"/>
    </row>
    <row r="26" ht="37.5" spans="1:9">
      <c r="A26" s="6">
        <v>24</v>
      </c>
      <c r="B26" s="6" t="s">
        <v>13</v>
      </c>
      <c r="C26" s="6" t="str">
        <f>"程序设计与python应用"</f>
        <v>程序设计与python应用</v>
      </c>
      <c r="D26" s="6" t="str">
        <f>"通识基础课"</f>
        <v>通识基础课</v>
      </c>
      <c r="E26" s="6" t="str">
        <f>"马丹"</f>
        <v>马丹</v>
      </c>
      <c r="F26" s="6" t="str">
        <f>"鲜宇鑫"</f>
        <v>鲜宇鑫</v>
      </c>
      <c r="G26" s="6" t="str">
        <f>"122120100003"</f>
        <v>122120100003</v>
      </c>
      <c r="H26" s="7"/>
      <c r="I26" s="7"/>
    </row>
    <row r="27" ht="37.5" spans="1:9">
      <c r="A27" s="6">
        <v>25</v>
      </c>
      <c r="B27" s="6" t="s">
        <v>13</v>
      </c>
      <c r="C27" s="6" t="str">
        <f>"运营管理"</f>
        <v>运营管理</v>
      </c>
      <c r="D27" s="6" t="str">
        <f>"专业必修课"</f>
        <v>专业必修课</v>
      </c>
      <c r="E27" s="6" t="str">
        <f>"宋博迁"</f>
        <v>宋博迁</v>
      </c>
      <c r="F27" s="6" t="str">
        <f>"唐霞"</f>
        <v>唐霞</v>
      </c>
      <c r="G27" s="6" t="str">
        <f>"121120100004"</f>
        <v>121120100004</v>
      </c>
      <c r="H27" s="7"/>
      <c r="I27" s="7"/>
    </row>
    <row r="28" ht="56.25" spans="1:9">
      <c r="A28" s="6">
        <v>26</v>
      </c>
      <c r="B28" s="6" t="s">
        <v>13</v>
      </c>
      <c r="C28" s="6" t="str">
        <f>"数据分析（Python）（英）"</f>
        <v>数据分析（Python）（英）</v>
      </c>
      <c r="D28" s="6" t="str">
        <f>"专业方向课"</f>
        <v>专业方向课</v>
      </c>
      <c r="E28" s="6" t="str">
        <f>"刘凌"</f>
        <v>刘凌</v>
      </c>
      <c r="F28" s="6" t="str">
        <f>"陈旭彤"</f>
        <v>陈旭彤</v>
      </c>
      <c r="G28" s="6" t="str">
        <f>"123120100005"</f>
        <v>123120100005</v>
      </c>
      <c r="H28" s="7"/>
      <c r="I28" s="7"/>
    </row>
    <row r="29" ht="37.5" spans="1:9">
      <c r="A29" s="6">
        <v>27</v>
      </c>
      <c r="B29" s="6" t="s">
        <v>13</v>
      </c>
      <c r="C29" s="6" t="str">
        <f>"程序设计与python应用"</f>
        <v>程序设计与python应用</v>
      </c>
      <c r="D29" s="6" t="str">
        <f>"通识基础课"</f>
        <v>通识基础课</v>
      </c>
      <c r="E29" s="6" t="str">
        <f>"彭博"</f>
        <v>彭博</v>
      </c>
      <c r="F29" s="6" t="str">
        <f>"张浩"</f>
        <v>张浩</v>
      </c>
      <c r="G29" s="6" t="str">
        <f>"2221202Z9003"</f>
        <v>2221202Z9003</v>
      </c>
      <c r="H29" s="7"/>
      <c r="I29" s="7"/>
    </row>
    <row r="30" ht="37.5" spans="1:9">
      <c r="A30" s="6">
        <v>28</v>
      </c>
      <c r="B30" s="6" t="s">
        <v>13</v>
      </c>
      <c r="C30" s="6" t="str">
        <f>"管理信息系统（英）"</f>
        <v>管理信息系统（英）</v>
      </c>
      <c r="D30" s="6" t="str">
        <f>"专业必修课"</f>
        <v>专业必修课</v>
      </c>
      <c r="E30" s="6" t="str">
        <f>"徐赟"</f>
        <v>徐赟</v>
      </c>
      <c r="F30" s="6" t="str">
        <f>"赵丽"</f>
        <v>赵丽</v>
      </c>
      <c r="G30" s="6" t="str">
        <f>"121120204004"</f>
        <v>121120204004</v>
      </c>
      <c r="H30" s="7"/>
      <c r="I30" s="7"/>
    </row>
    <row r="31" ht="56.25" spans="1:9">
      <c r="A31" s="6">
        <v>29</v>
      </c>
      <c r="B31" s="6" t="s">
        <v>13</v>
      </c>
      <c r="C31" s="6" t="str">
        <f>"数据分析（Python）（英）"</f>
        <v>数据分析（Python）（英）</v>
      </c>
      <c r="D31" s="6" t="str">
        <f>"专业方向课"</f>
        <v>专业方向课</v>
      </c>
      <c r="E31" s="6" t="str">
        <f>"刘凌"</f>
        <v>刘凌</v>
      </c>
      <c r="F31" s="6" t="str">
        <f>"叶积昕"</f>
        <v>叶积昕</v>
      </c>
      <c r="G31" s="6" t="str">
        <f>"122120204006"</f>
        <v>122120204006</v>
      </c>
      <c r="H31" s="7"/>
      <c r="I31" s="7"/>
    </row>
    <row r="32" ht="37.5" spans="1:9">
      <c r="A32" s="6">
        <v>30</v>
      </c>
      <c r="B32" s="6" t="s">
        <v>13</v>
      </c>
      <c r="C32" s="6" t="str">
        <f>"互联网金融MOOC"</f>
        <v>互联网金融MOOC</v>
      </c>
      <c r="D32" s="6" t="str">
        <f>"慕课"</f>
        <v>慕课</v>
      </c>
      <c r="E32" s="6" t="str">
        <f>"帅青红"</f>
        <v>帅青红</v>
      </c>
      <c r="F32" s="6" t="str">
        <f>"钟清华"</f>
        <v>钟清华</v>
      </c>
      <c r="G32" s="6" t="str">
        <f>"223120100033"</f>
        <v>223120100033</v>
      </c>
      <c r="H32" s="7"/>
      <c r="I32" s="7"/>
    </row>
    <row r="33" ht="37.5" spans="1:9">
      <c r="A33" s="6">
        <v>31</v>
      </c>
      <c r="B33" s="6" t="s">
        <v>13</v>
      </c>
      <c r="C33" s="6" t="str">
        <f>"金融智能（英）"</f>
        <v>金融智能（英）</v>
      </c>
      <c r="D33" s="6" t="str">
        <f>"专业方向课"</f>
        <v>专业方向课</v>
      </c>
      <c r="E33" s="6" t="str">
        <f>"王涛"</f>
        <v>王涛</v>
      </c>
      <c r="F33" s="6" t="str">
        <f>"陈禹滴"</f>
        <v>陈禹滴</v>
      </c>
      <c r="G33" s="6" t="str">
        <f>"121120204006"</f>
        <v>121120204006</v>
      </c>
      <c r="H33" s="7"/>
      <c r="I33" s="7"/>
    </row>
    <row r="34" ht="37.5" spans="1:9">
      <c r="A34" s="6">
        <v>32</v>
      </c>
      <c r="B34" s="6" t="s">
        <v>13</v>
      </c>
      <c r="C34" s="6" t="str">
        <f>"金融智能（英）"</f>
        <v>金融智能（英）</v>
      </c>
      <c r="D34" s="6" t="str">
        <f>"专业方向课"</f>
        <v>专业方向课</v>
      </c>
      <c r="E34" s="6" t="str">
        <f>"王涛"</f>
        <v>王涛</v>
      </c>
      <c r="F34" s="6" t="str">
        <f>"胡长宇"</f>
        <v>胡长宇</v>
      </c>
      <c r="G34" s="6" t="str">
        <f>"121020204049"</f>
        <v>121020204049</v>
      </c>
      <c r="H34" s="7"/>
      <c r="I34" s="7"/>
    </row>
    <row r="35" ht="37.5" spans="1:9">
      <c r="A35" s="6">
        <v>33</v>
      </c>
      <c r="B35" s="6" t="s">
        <v>13</v>
      </c>
      <c r="C35" s="6" t="str">
        <f>"数据库原理与应用"</f>
        <v>数据库原理与应用</v>
      </c>
      <c r="D35" s="6" t="str">
        <f>"专业必修课"</f>
        <v>专业必修课</v>
      </c>
      <c r="E35" s="6" t="str">
        <f>"马丹"</f>
        <v>马丹</v>
      </c>
      <c r="F35" s="6" t="str">
        <f>"汪城佳"</f>
        <v>汪城佳</v>
      </c>
      <c r="G35" s="6" t="str">
        <f>"223020208012"</f>
        <v>223020208012</v>
      </c>
      <c r="H35" s="7"/>
      <c r="I35" s="7"/>
    </row>
    <row r="36" ht="37.5" spans="1:9">
      <c r="A36" s="6">
        <v>34</v>
      </c>
      <c r="B36" s="6" t="s">
        <v>13</v>
      </c>
      <c r="C36" s="6" t="str">
        <f>"数字经济支付MOOC"</f>
        <v>数字经济支付MOOC</v>
      </c>
      <c r="D36" s="6" t="str">
        <f>"慕课"</f>
        <v>慕课</v>
      </c>
      <c r="E36" s="6" t="str">
        <f>"李忠俊"</f>
        <v>李忠俊</v>
      </c>
      <c r="F36" s="6" t="str">
        <f>"潘书玲"</f>
        <v>潘书玲</v>
      </c>
      <c r="G36" s="6" t="str">
        <f>"2220202Z3002"</f>
        <v>2220202Z3002</v>
      </c>
      <c r="H36" s="7"/>
      <c r="I36" s="7"/>
    </row>
    <row r="37" ht="37.5" spans="1:9">
      <c r="A37" s="6">
        <v>35</v>
      </c>
      <c r="B37" s="6" t="s">
        <v>13</v>
      </c>
      <c r="C37" s="6" t="str">
        <f>"程序设计与python应用"</f>
        <v>程序设计与python应用</v>
      </c>
      <c r="D37" s="6" t="str">
        <f>"通识基础课"</f>
        <v>通识基础课</v>
      </c>
      <c r="E37" s="6" t="str">
        <f>"马丹"</f>
        <v>马丹</v>
      </c>
      <c r="F37" s="6" t="str">
        <f>"罗茜"</f>
        <v>罗茜</v>
      </c>
      <c r="G37" s="6" t="str">
        <f>"121020104010"</f>
        <v>121020104010</v>
      </c>
      <c r="H37" s="7"/>
      <c r="I37" s="7"/>
    </row>
    <row r="38" ht="37.5" spans="1:9">
      <c r="A38" s="6">
        <v>36</v>
      </c>
      <c r="B38" s="6" t="s">
        <v>14</v>
      </c>
      <c r="C38" s="6" t="str">
        <f>"宏观经济学（双语）"</f>
        <v>宏观经济学（双语）</v>
      </c>
      <c r="D38" s="6" t="str">
        <f>"大学科基础课"</f>
        <v>大学科基础课</v>
      </c>
      <c r="E38" s="6" t="str">
        <f>"李雨浓"</f>
        <v>李雨浓</v>
      </c>
      <c r="F38" s="6" t="str">
        <f>"赵珂悦"</f>
        <v>赵珂悦</v>
      </c>
      <c r="G38" s="6" t="str">
        <f>"223020204011"</f>
        <v>223020204011</v>
      </c>
      <c r="H38" s="7"/>
      <c r="I38" s="7"/>
    </row>
    <row r="39" ht="37.5" spans="1:9">
      <c r="A39" s="6">
        <v>37</v>
      </c>
      <c r="B39" s="6" t="s">
        <v>14</v>
      </c>
      <c r="C39" s="6" t="str">
        <f>"组织行为学（英文）MOOC"</f>
        <v>组织行为学（英文）MOOC</v>
      </c>
      <c r="D39" s="6" t="str">
        <f>"慕课"</f>
        <v>慕课</v>
      </c>
      <c r="E39" s="6" t="str">
        <f>"宁南"</f>
        <v>宁南</v>
      </c>
      <c r="F39" s="6" t="str">
        <f>"吴珊"</f>
        <v>吴珊</v>
      </c>
      <c r="G39" s="6" t="str">
        <f>"1211202Z1003"</f>
        <v>1211202Z1003</v>
      </c>
      <c r="H39" s="7"/>
      <c r="I39" s="7"/>
    </row>
    <row r="40" ht="56.25" spans="1:9">
      <c r="A40" s="6">
        <v>38</v>
      </c>
      <c r="B40" s="6" t="s">
        <v>14</v>
      </c>
      <c r="C40" s="6" t="str">
        <f>"国际商务理论与在中国的应用MOOC"</f>
        <v>国际商务理论与在中国的应用MOOC</v>
      </c>
      <c r="D40" s="6" t="str">
        <f>"慕课"</f>
        <v>慕课</v>
      </c>
      <c r="E40" s="6" t="str">
        <f>"王珏"</f>
        <v>王珏</v>
      </c>
      <c r="F40" s="6" t="str">
        <f>"梁思瑶"</f>
        <v>梁思瑶</v>
      </c>
      <c r="G40" s="6" t="str">
        <f>"222020206023"</f>
        <v>222020206023</v>
      </c>
      <c r="H40" s="7"/>
      <c r="I40" s="7"/>
    </row>
    <row r="41" ht="37.5" spans="1:9">
      <c r="A41" s="6">
        <v>39</v>
      </c>
      <c r="B41" s="6" t="s">
        <v>14</v>
      </c>
      <c r="C41" s="6" t="str">
        <f>"宏观经济学（双语）"</f>
        <v>宏观经济学（双语）</v>
      </c>
      <c r="D41" s="6" t="str">
        <f>"大学科基础课"</f>
        <v>大学科基础课</v>
      </c>
      <c r="E41" s="6" t="str">
        <f>"李雨浓"</f>
        <v>李雨浓</v>
      </c>
      <c r="F41" s="6" t="str">
        <f>"杨雨萌"</f>
        <v>杨雨萌</v>
      </c>
      <c r="G41" s="6" t="str">
        <f>"123020206004"</f>
        <v>123020206004</v>
      </c>
      <c r="H41" s="7"/>
      <c r="I41" s="7"/>
    </row>
    <row r="42" ht="37.5" spans="1:9">
      <c r="A42" s="6">
        <v>40</v>
      </c>
      <c r="B42" s="6" t="s">
        <v>14</v>
      </c>
      <c r="C42" s="6" t="str">
        <f>"国际贸易实务MOOC"</f>
        <v>国际贸易实务MOOC</v>
      </c>
      <c r="D42" s="6" t="str">
        <f>"慕课"</f>
        <v>慕课</v>
      </c>
      <c r="E42" s="6" t="str">
        <f>"谢凤燕"</f>
        <v>谢凤燕</v>
      </c>
      <c r="F42" s="6" t="str">
        <f>"王韵迪"</f>
        <v>王韵迪</v>
      </c>
      <c r="G42" s="6" t="str">
        <f>"122120203001"</f>
        <v>122120203001</v>
      </c>
      <c r="H42" s="7"/>
      <c r="I42" s="7"/>
    </row>
    <row r="43" ht="37.5" spans="1:9">
      <c r="A43" s="6">
        <v>41</v>
      </c>
      <c r="B43" s="6" t="str">
        <f>"会计学院"</f>
        <v>会计学院</v>
      </c>
      <c r="C43" s="6" t="str">
        <f>"会计学"</f>
        <v>会计学</v>
      </c>
      <c r="D43" s="6" t="str">
        <f>"大学科基础课"</f>
        <v>大学科基础课</v>
      </c>
      <c r="E43" s="6" t="str">
        <f>"杨奕楠"</f>
        <v>杨奕楠</v>
      </c>
      <c r="F43" s="6" t="str">
        <f>"荣俊豪"</f>
        <v>荣俊豪</v>
      </c>
      <c r="G43" s="6" t="str">
        <f>"123120201007"</f>
        <v>123120201007</v>
      </c>
      <c r="H43" s="7"/>
      <c r="I43" s="7"/>
    </row>
    <row r="44" ht="37.5" spans="1:9">
      <c r="A44" s="6">
        <v>42</v>
      </c>
      <c r="B44" s="6" t="s">
        <v>15</v>
      </c>
      <c r="C44" s="6" t="str">
        <f>"会计学"</f>
        <v>会计学</v>
      </c>
      <c r="D44" s="6" t="str">
        <f>"大学科基础课"</f>
        <v>大学科基础课</v>
      </c>
      <c r="E44" s="6" t="str">
        <f>"张怡"</f>
        <v>张怡</v>
      </c>
      <c r="F44" s="6" t="str">
        <f>"郭安琪"</f>
        <v>郭安琪</v>
      </c>
      <c r="G44" s="6" t="str">
        <f>"2221202Z6014"</f>
        <v>2221202Z6014</v>
      </c>
      <c r="H44" s="7"/>
      <c r="I44" s="7"/>
    </row>
    <row r="45" ht="37.5" spans="1:9">
      <c r="A45" s="6">
        <v>43</v>
      </c>
      <c r="B45" s="6" t="s">
        <v>15</v>
      </c>
      <c r="C45" s="6" t="str">
        <f>"会计学"</f>
        <v>会计学</v>
      </c>
      <c r="D45" s="6" t="str">
        <f>"大学科基础课"</f>
        <v>大学科基础课</v>
      </c>
      <c r="E45" s="6" t="str">
        <f>"张怡"</f>
        <v>张怡</v>
      </c>
      <c r="F45" s="6" t="str">
        <f>"张源桓"</f>
        <v>张源桓</v>
      </c>
      <c r="G45" s="6" t="str">
        <f>"222120201030"</f>
        <v>222120201030</v>
      </c>
      <c r="H45" s="7"/>
      <c r="I45" s="7"/>
    </row>
    <row r="46" ht="18.75" spans="1:9">
      <c r="A46" s="6">
        <v>44</v>
      </c>
      <c r="B46" s="6" t="s">
        <v>15</v>
      </c>
      <c r="C46" s="6" t="str">
        <f>"审计学MOOC"</f>
        <v>审计学MOOC</v>
      </c>
      <c r="D46" s="6" t="str">
        <f>"慕课"</f>
        <v>慕课</v>
      </c>
      <c r="E46" s="6" t="str">
        <f>"李越冬"</f>
        <v>李越冬</v>
      </c>
      <c r="F46" s="6" t="str">
        <f>"王潇"</f>
        <v>王潇</v>
      </c>
      <c r="G46" s="6" t="str">
        <f>"1231202Z7002"</f>
        <v>1231202Z7002</v>
      </c>
      <c r="H46" s="7"/>
      <c r="I46" s="7"/>
    </row>
    <row r="47" ht="37.5" spans="1:9">
      <c r="A47" s="6">
        <v>45</v>
      </c>
      <c r="B47" s="6" t="s">
        <v>15</v>
      </c>
      <c r="C47" s="6" t="str">
        <f>"会计学"</f>
        <v>会计学</v>
      </c>
      <c r="D47" s="6" t="str">
        <f>"大学科基础课"</f>
        <v>大学科基础课</v>
      </c>
      <c r="E47" s="6" t="str">
        <f>"金雅玲"</f>
        <v>金雅玲</v>
      </c>
      <c r="F47" s="6" t="str">
        <f>"刘斯媛"</f>
        <v>刘斯媛</v>
      </c>
      <c r="G47" s="6" t="str">
        <f>"223120201018"</f>
        <v>223120201018</v>
      </c>
      <c r="H47" s="7"/>
      <c r="I47" s="7"/>
    </row>
    <row r="48" ht="37.5" spans="1:9">
      <c r="A48" s="6">
        <v>46</v>
      </c>
      <c r="B48" s="6" t="s">
        <v>15</v>
      </c>
      <c r="C48" s="6" t="str">
        <f>"会计学"</f>
        <v>会计学</v>
      </c>
      <c r="D48" s="6" t="str">
        <f>"大学科基础课"</f>
        <v>大学科基础课</v>
      </c>
      <c r="E48" s="6" t="str">
        <f>"任世驰"</f>
        <v>任世驰</v>
      </c>
      <c r="F48" s="6" t="str">
        <f>"牟秋睿"</f>
        <v>牟秋睿</v>
      </c>
      <c r="G48" s="6" t="str">
        <f>"2221202Z6010"</f>
        <v>2221202Z6010</v>
      </c>
      <c r="H48" s="7"/>
      <c r="I48" s="7"/>
    </row>
    <row r="49" ht="18.75" spans="1:9">
      <c r="A49" s="6">
        <v>47</v>
      </c>
      <c r="B49" s="6" t="s">
        <v>15</v>
      </c>
      <c r="C49" s="6" t="str">
        <f>"管理会计学MOOC"</f>
        <v>管理会计学MOOC</v>
      </c>
      <c r="D49" s="6" t="str">
        <f>"慕课"</f>
        <v>慕课</v>
      </c>
      <c r="E49" s="6" t="str">
        <f>"李玉周"</f>
        <v>李玉周</v>
      </c>
      <c r="F49" s="6" t="str">
        <f>"秦张"</f>
        <v>秦张</v>
      </c>
      <c r="G49" s="6" t="str">
        <f>"222125300031"</f>
        <v>222125300031</v>
      </c>
      <c r="H49" s="7"/>
      <c r="I49" s="7"/>
    </row>
    <row r="50" ht="37.5" spans="1:9">
      <c r="A50" s="6">
        <v>48</v>
      </c>
      <c r="B50" s="6" t="s">
        <v>15</v>
      </c>
      <c r="C50" s="6" t="str">
        <f t="shared" ref="C50:C55" si="0">"会计学"</f>
        <v>会计学</v>
      </c>
      <c r="D50" s="6" t="str">
        <f>"专业方向课"</f>
        <v>专业方向课</v>
      </c>
      <c r="E50" s="6" t="str">
        <f>"邓博夫"</f>
        <v>邓博夫</v>
      </c>
      <c r="F50" s="6" t="str">
        <f>"王通"</f>
        <v>王通</v>
      </c>
      <c r="G50" s="6" t="str">
        <f>"1211202Z6008"</f>
        <v>1211202Z6008</v>
      </c>
      <c r="H50" s="7"/>
      <c r="I50" s="7"/>
    </row>
    <row r="51" ht="37.5" spans="1:9">
      <c r="A51" s="6">
        <v>49</v>
      </c>
      <c r="B51" s="6" t="s">
        <v>15</v>
      </c>
      <c r="C51" s="6" t="str">
        <f t="shared" si="0"/>
        <v>会计学</v>
      </c>
      <c r="D51" s="6" t="str">
        <f>"大学科基础课"</f>
        <v>大学科基础课</v>
      </c>
      <c r="E51" s="6" t="str">
        <f>"许楠"</f>
        <v>许楠</v>
      </c>
      <c r="F51" s="6" t="str">
        <f>"张家琪"</f>
        <v>张家琪</v>
      </c>
      <c r="G51" s="6" t="str">
        <f>"1211202Z6010"</f>
        <v>1211202Z6010</v>
      </c>
      <c r="H51" s="7"/>
      <c r="I51" s="7"/>
    </row>
    <row r="52" ht="37.5" spans="1:9">
      <c r="A52" s="6">
        <v>50</v>
      </c>
      <c r="B52" s="6" t="s">
        <v>15</v>
      </c>
      <c r="C52" s="6" t="str">
        <f t="shared" si="0"/>
        <v>会计学</v>
      </c>
      <c r="D52" s="6" t="str">
        <f>"大学科基础课"</f>
        <v>大学科基础课</v>
      </c>
      <c r="E52" s="6" t="str">
        <f>"曾昌礼"</f>
        <v>曾昌礼</v>
      </c>
      <c r="F52" s="6" t="str">
        <f>"陈伟忠"</f>
        <v>陈伟忠</v>
      </c>
      <c r="G52" s="6" t="str">
        <f>"122120201010"</f>
        <v>122120201010</v>
      </c>
      <c r="H52" s="7"/>
      <c r="I52" s="7"/>
    </row>
    <row r="53" ht="37.5" spans="1:9">
      <c r="A53" s="6">
        <v>51</v>
      </c>
      <c r="B53" s="6" t="s">
        <v>15</v>
      </c>
      <c r="C53" s="6" t="str">
        <f t="shared" si="0"/>
        <v>会计学</v>
      </c>
      <c r="D53" s="6" t="str">
        <f>"大学科基础课"</f>
        <v>大学科基础课</v>
      </c>
      <c r="E53" s="6" t="str">
        <f>"李朝霞"</f>
        <v>李朝霞</v>
      </c>
      <c r="F53" s="6" t="str">
        <f>"陆伦葳"</f>
        <v>陆伦葳</v>
      </c>
      <c r="G53" s="6" t="str">
        <f>"1201202Z6001"</f>
        <v>1201202Z6001</v>
      </c>
      <c r="H53" s="7"/>
      <c r="I53" s="7"/>
    </row>
    <row r="54" ht="37.5" spans="1:9">
      <c r="A54" s="6">
        <v>52</v>
      </c>
      <c r="B54" s="6" t="s">
        <v>15</v>
      </c>
      <c r="C54" s="6" t="str">
        <f t="shared" si="0"/>
        <v>会计学</v>
      </c>
      <c r="D54" s="6" t="str">
        <f>"大学科基础课"</f>
        <v>大学科基础课</v>
      </c>
      <c r="E54" s="6" t="str">
        <f>"黄健"</f>
        <v>黄健</v>
      </c>
      <c r="F54" s="6" t="str">
        <f>"王治"</f>
        <v>王治</v>
      </c>
      <c r="G54" s="6" t="str">
        <f>"120120201003"</f>
        <v>120120201003</v>
      </c>
      <c r="H54" s="7"/>
      <c r="I54" s="7"/>
    </row>
    <row r="55" ht="37.5" spans="1:9">
      <c r="A55" s="6">
        <v>53</v>
      </c>
      <c r="B55" s="6" t="s">
        <v>15</v>
      </c>
      <c r="C55" s="6" t="str">
        <f t="shared" si="0"/>
        <v>会计学</v>
      </c>
      <c r="D55" s="6" t="str">
        <f>"大学科基础课"</f>
        <v>大学科基础课</v>
      </c>
      <c r="E55" s="6" t="str">
        <f>"李朝霞"</f>
        <v>李朝霞</v>
      </c>
      <c r="F55" s="6" t="str">
        <f>"岳佳彬"</f>
        <v>岳佳彬</v>
      </c>
      <c r="G55" s="6" t="str">
        <f>"1211202Z6002"</f>
        <v>1211202Z6002</v>
      </c>
      <c r="H55" s="7"/>
      <c r="I55" s="7"/>
    </row>
    <row r="56" ht="37.5" spans="1:9">
      <c r="A56" s="6">
        <v>54</v>
      </c>
      <c r="B56" s="6" t="s">
        <v>15</v>
      </c>
      <c r="C56" s="6" t="str">
        <f>"中级财务会计I（英）MOOC"</f>
        <v>中级财务会计I（英）MOOC</v>
      </c>
      <c r="D56" s="6" t="str">
        <f>"慕课"</f>
        <v>慕课</v>
      </c>
      <c r="E56" s="6" t="str">
        <f>"何力"</f>
        <v>何力</v>
      </c>
      <c r="F56" s="6" t="str">
        <f>"罗乐熙"</f>
        <v>罗乐熙</v>
      </c>
      <c r="G56" s="6" t="str">
        <f>"1221202Z6004"</f>
        <v>1221202Z6004</v>
      </c>
      <c r="H56" s="7"/>
      <c r="I56" s="7"/>
    </row>
    <row r="57" ht="56.25" spans="1:9">
      <c r="A57" s="6">
        <v>55</v>
      </c>
      <c r="B57" s="6" t="s">
        <v>15</v>
      </c>
      <c r="C57" s="6" t="str">
        <f>"综合能力训练（ERP模拟经营沙盘）MOOC"</f>
        <v>综合能力训练（ERP模拟经营沙盘）MOOC</v>
      </c>
      <c r="D57" s="6" t="str">
        <f>"慕课"</f>
        <v>慕课</v>
      </c>
      <c r="E57" s="6" t="str">
        <f>"邹燕"</f>
        <v>邹燕</v>
      </c>
      <c r="F57" s="6" t="str">
        <f>"徐徐"</f>
        <v>徐徐</v>
      </c>
      <c r="G57" s="6" t="str">
        <f>"1211202Z3002"</f>
        <v>1211202Z3002</v>
      </c>
      <c r="H57" s="7"/>
      <c r="I57" s="7"/>
    </row>
    <row r="58" ht="37.5" spans="1:9">
      <c r="A58" s="6">
        <v>56</v>
      </c>
      <c r="B58" s="6" t="s">
        <v>15</v>
      </c>
      <c r="C58" s="6" t="str">
        <f>"初级财务会计(英)MOOC"</f>
        <v>初级财务会计(英)MOOC</v>
      </c>
      <c r="D58" s="6" t="str">
        <f>"慕课"</f>
        <v>慕课</v>
      </c>
      <c r="E58" s="6" t="str">
        <f>"赵尘"</f>
        <v>赵尘</v>
      </c>
      <c r="F58" s="6" t="str">
        <f>"方温柔"</f>
        <v>方温柔</v>
      </c>
      <c r="G58" s="6" t="str">
        <f>"1221202Z6005"</f>
        <v>1221202Z6005</v>
      </c>
      <c r="H58" s="7"/>
      <c r="I58" s="7"/>
    </row>
    <row r="59" ht="37.5" spans="1:9">
      <c r="A59" s="6">
        <v>57</v>
      </c>
      <c r="B59" s="6" t="s">
        <v>15</v>
      </c>
      <c r="C59" s="6" t="str">
        <f>"高级财务会计（英）MOOC"</f>
        <v>高级财务会计（英）MOOC</v>
      </c>
      <c r="D59" s="6" t="str">
        <f>"慕课"</f>
        <v>慕课</v>
      </c>
      <c r="E59" s="6" t="str">
        <f>"王静"</f>
        <v>王静</v>
      </c>
      <c r="F59" s="6" t="str">
        <f>"蒋键青"</f>
        <v>蒋键青</v>
      </c>
      <c r="G59" s="6" t="str">
        <f>"2221202Z7004"</f>
        <v>2221202Z7004</v>
      </c>
      <c r="H59" s="7"/>
      <c r="I59" s="7"/>
    </row>
    <row r="60" ht="37.5" spans="1:9">
      <c r="A60" s="6">
        <v>58</v>
      </c>
      <c r="B60" s="6" t="s">
        <v>15</v>
      </c>
      <c r="C60" s="6" t="str">
        <f t="shared" ref="C60:C67" si="1">"会计学"</f>
        <v>会计学</v>
      </c>
      <c r="D60" s="6" t="str">
        <f t="shared" ref="D60:D67" si="2">"大学科基础课"</f>
        <v>大学科基础课</v>
      </c>
      <c r="E60" s="6" t="str">
        <f>"许楠"</f>
        <v>许楠</v>
      </c>
      <c r="F60" s="6" t="str">
        <f>"刘天红"</f>
        <v>刘天红</v>
      </c>
      <c r="G60" s="6" t="str">
        <f>"1221202Z6001"</f>
        <v>1221202Z6001</v>
      </c>
      <c r="H60" s="7"/>
      <c r="I60" s="7"/>
    </row>
    <row r="61" ht="37.5" spans="1:9">
      <c r="A61" s="6">
        <v>59</v>
      </c>
      <c r="B61" s="6" t="s">
        <v>15</v>
      </c>
      <c r="C61" s="6" t="str">
        <f t="shared" si="1"/>
        <v>会计学</v>
      </c>
      <c r="D61" s="6" t="str">
        <f t="shared" si="2"/>
        <v>大学科基础课</v>
      </c>
      <c r="E61" s="6" t="str">
        <f>"张倩倩"</f>
        <v>张倩倩</v>
      </c>
      <c r="F61" s="6" t="str">
        <f>"唐莉"</f>
        <v>唐莉</v>
      </c>
      <c r="G61" s="6" t="str">
        <f>"1211202Z7003"</f>
        <v>1211202Z7003</v>
      </c>
      <c r="H61" s="7"/>
      <c r="I61" s="7"/>
    </row>
    <row r="62" ht="37.5" spans="1:9">
      <c r="A62" s="6">
        <v>60</v>
      </c>
      <c r="B62" s="6" t="s">
        <v>15</v>
      </c>
      <c r="C62" s="6" t="str">
        <f t="shared" si="1"/>
        <v>会计学</v>
      </c>
      <c r="D62" s="6" t="str">
        <f t="shared" si="2"/>
        <v>大学科基础课</v>
      </c>
      <c r="E62" s="6" t="str">
        <f>"曾昌礼"</f>
        <v>曾昌礼</v>
      </c>
      <c r="F62" s="6" t="str">
        <f>"陆溢"</f>
        <v>陆溢</v>
      </c>
      <c r="G62" s="6" t="str">
        <f>"222120201015"</f>
        <v>222120201015</v>
      </c>
      <c r="H62" s="7"/>
      <c r="I62" s="7"/>
    </row>
    <row r="63" ht="37.5" spans="1:9">
      <c r="A63" s="6">
        <v>61</v>
      </c>
      <c r="B63" s="6" t="s">
        <v>15</v>
      </c>
      <c r="C63" s="6" t="str">
        <f t="shared" si="1"/>
        <v>会计学</v>
      </c>
      <c r="D63" s="6" t="str">
        <f t="shared" si="2"/>
        <v>大学科基础课</v>
      </c>
      <c r="E63" s="6" t="str">
        <f>"李海燕"</f>
        <v>李海燕</v>
      </c>
      <c r="F63" s="6" t="str">
        <f>"刘晓丰"</f>
        <v>刘晓丰</v>
      </c>
      <c r="G63" s="6" t="str">
        <f>"121120201005"</f>
        <v>121120201005</v>
      </c>
      <c r="H63" s="7"/>
      <c r="I63" s="7"/>
    </row>
    <row r="64" ht="37.5" spans="1:9">
      <c r="A64" s="6">
        <v>62</v>
      </c>
      <c r="B64" s="6" t="s">
        <v>15</v>
      </c>
      <c r="C64" s="6" t="str">
        <f t="shared" si="1"/>
        <v>会计学</v>
      </c>
      <c r="D64" s="6" t="str">
        <f t="shared" si="2"/>
        <v>大学科基础课</v>
      </c>
      <c r="E64" s="6" t="str">
        <f>"邓博夫"</f>
        <v>邓博夫</v>
      </c>
      <c r="F64" s="6" t="str">
        <f>"王小玫"</f>
        <v>王小玫</v>
      </c>
      <c r="G64" s="6" t="str">
        <f>"2221202Z6016"</f>
        <v>2221202Z6016</v>
      </c>
      <c r="H64" s="7"/>
      <c r="I64" s="7"/>
    </row>
    <row r="65" ht="37.5" spans="1:9">
      <c r="A65" s="6">
        <v>63</v>
      </c>
      <c r="B65" s="6" t="str">
        <f>"会计学院"</f>
        <v>会计学院</v>
      </c>
      <c r="C65" s="6" t="str">
        <f t="shared" si="1"/>
        <v>会计学</v>
      </c>
      <c r="D65" s="6" t="str">
        <f t="shared" si="2"/>
        <v>大学科基础课</v>
      </c>
      <c r="E65" s="6" t="str">
        <f>"杨奕楠"</f>
        <v>杨奕楠</v>
      </c>
      <c r="F65" s="6" t="str">
        <f>"彭振革"</f>
        <v>彭振革</v>
      </c>
      <c r="G65" s="6" t="str">
        <f>"121120201006"</f>
        <v>121120201006</v>
      </c>
      <c r="H65" s="7"/>
      <c r="I65" s="7"/>
    </row>
    <row r="66" ht="37.5" spans="1:9">
      <c r="A66" s="6">
        <v>64</v>
      </c>
      <c r="B66" s="6" t="s">
        <v>15</v>
      </c>
      <c r="C66" s="6" t="str">
        <f t="shared" si="1"/>
        <v>会计学</v>
      </c>
      <c r="D66" s="6" t="str">
        <f t="shared" si="2"/>
        <v>大学科基础课</v>
      </c>
      <c r="E66" s="6" t="str">
        <f>"黄健"</f>
        <v>黄健</v>
      </c>
      <c r="F66" s="6" t="str">
        <f>"张正懿"</f>
        <v>张正懿</v>
      </c>
      <c r="G66" s="6" t="str">
        <f>"1231202Z6007"</f>
        <v>1231202Z6007</v>
      </c>
      <c r="H66" s="7"/>
      <c r="I66" s="7"/>
    </row>
    <row r="67" ht="37.5" spans="1:9">
      <c r="A67" s="6">
        <v>65</v>
      </c>
      <c r="B67" s="6" t="s">
        <v>15</v>
      </c>
      <c r="C67" s="6" t="str">
        <f t="shared" si="1"/>
        <v>会计学</v>
      </c>
      <c r="D67" s="6" t="str">
        <f t="shared" si="2"/>
        <v>大学科基础课</v>
      </c>
      <c r="E67" s="6" t="str">
        <f>"张倩倩"</f>
        <v>张倩倩</v>
      </c>
      <c r="F67" s="6" t="str">
        <f>"王钰铃"</f>
        <v>王钰铃</v>
      </c>
      <c r="G67" s="6" t="str">
        <f>"121120201004"</f>
        <v>121120201004</v>
      </c>
      <c r="H67" s="7"/>
      <c r="I67" s="7"/>
    </row>
    <row r="68" ht="56.25" spans="1:9">
      <c r="A68" s="6">
        <v>66</v>
      </c>
      <c r="B68" s="6" t="s">
        <v>15</v>
      </c>
      <c r="C68" s="6" t="str">
        <f>"综合能力训练（ERP模拟经营沙盘）MOOC"</f>
        <v>综合能力训练（ERP模拟经营沙盘）MOOC</v>
      </c>
      <c r="D68" s="6" t="str">
        <f>"慕课"</f>
        <v>慕课</v>
      </c>
      <c r="E68" s="6" t="str">
        <f>"邹燕"</f>
        <v>邹燕</v>
      </c>
      <c r="F68" s="6" t="str">
        <f>"石琦"</f>
        <v>石琦</v>
      </c>
      <c r="G68" s="6" t="str">
        <f>"2211202Z6022"</f>
        <v>2211202Z6022</v>
      </c>
      <c r="H68" s="7"/>
      <c r="I68" s="7"/>
    </row>
    <row r="69" ht="37.5" spans="1:9">
      <c r="A69" s="6">
        <v>67</v>
      </c>
      <c r="B69" s="6" t="s">
        <v>15</v>
      </c>
      <c r="C69" s="6" t="str">
        <f>"会计学"</f>
        <v>会计学</v>
      </c>
      <c r="D69" s="6" t="str">
        <f>"大学科基础课"</f>
        <v>大学科基础课</v>
      </c>
      <c r="E69" s="6" t="str">
        <f>"张怡"</f>
        <v>张怡</v>
      </c>
      <c r="F69" s="6" t="str">
        <f>"杜怡霏"</f>
        <v>杜怡霏</v>
      </c>
      <c r="G69" s="6" t="str">
        <f>"123120201006"</f>
        <v>123120201006</v>
      </c>
      <c r="H69" s="7"/>
      <c r="I69" s="7"/>
    </row>
    <row r="70" ht="37.5" spans="1:9">
      <c r="A70" s="6">
        <v>68</v>
      </c>
      <c r="B70" s="6" t="s">
        <v>15</v>
      </c>
      <c r="C70" s="6" t="str">
        <f>"会计学"</f>
        <v>会计学</v>
      </c>
      <c r="D70" s="6" t="str">
        <f>"大学科基础课"</f>
        <v>大学科基础课</v>
      </c>
      <c r="E70" s="6" t="str">
        <f>"李海燕"</f>
        <v>李海燕</v>
      </c>
      <c r="F70" s="6" t="str">
        <f>"朱映霖"</f>
        <v>朱映霖</v>
      </c>
      <c r="G70" s="6" t="str">
        <f>"222020204054"</f>
        <v>222020204054</v>
      </c>
      <c r="H70" s="7"/>
      <c r="I70" s="7"/>
    </row>
    <row r="71" ht="37.5" spans="1:9">
      <c r="A71" s="6">
        <v>69</v>
      </c>
      <c r="B71" s="6" t="s">
        <v>15</v>
      </c>
      <c r="C71" s="6" t="str">
        <f>"会计学"</f>
        <v>会计学</v>
      </c>
      <c r="D71" s="6" t="str">
        <f>"大学科基础课"</f>
        <v>大学科基础课</v>
      </c>
      <c r="E71" s="6" t="str">
        <f>"任世驰"</f>
        <v>任世驰</v>
      </c>
      <c r="F71" s="6" t="str">
        <f>"马艺璇"</f>
        <v>马艺璇</v>
      </c>
      <c r="G71" s="6" t="str">
        <f>"222120201025"</f>
        <v>222120201025</v>
      </c>
      <c r="H71" s="7"/>
      <c r="I71" s="7"/>
    </row>
    <row r="72" ht="37.5" spans="1:9">
      <c r="A72" s="6">
        <v>70</v>
      </c>
      <c r="B72" s="6" t="s">
        <v>15</v>
      </c>
      <c r="C72" s="6" t="str">
        <f>"会计学"</f>
        <v>会计学</v>
      </c>
      <c r="D72" s="6" t="str">
        <f>"大学科基础课"</f>
        <v>大学科基础课</v>
      </c>
      <c r="E72" s="6" t="str">
        <f>"金雅玲"</f>
        <v>金雅玲</v>
      </c>
      <c r="F72" s="6" t="str">
        <f>"赵静"</f>
        <v>赵静</v>
      </c>
      <c r="G72" s="6" t="str">
        <f>"123120201009"</f>
        <v>123120201009</v>
      </c>
      <c r="H72" s="7"/>
      <c r="I72" s="7"/>
    </row>
    <row r="73" ht="37.5" spans="1:9">
      <c r="A73" s="6">
        <v>71</v>
      </c>
      <c r="B73" s="6" t="s">
        <v>15</v>
      </c>
      <c r="C73" s="6" t="str">
        <f>"会计学"</f>
        <v>会计学</v>
      </c>
      <c r="D73" s="6" t="str">
        <f>"大学科基础课"</f>
        <v>大学科基础课</v>
      </c>
      <c r="E73" s="6" t="str">
        <f>"张倩倩"</f>
        <v>张倩倩</v>
      </c>
      <c r="F73" s="6" t="str">
        <f>"杜俊杰"</f>
        <v>杜俊杰</v>
      </c>
      <c r="G73" s="6" t="str">
        <f>"1211202Z6006"</f>
        <v>1211202Z6006</v>
      </c>
      <c r="H73" s="7"/>
      <c r="I73" s="7"/>
    </row>
    <row r="74" ht="37.5" spans="1:9">
      <c r="A74" s="6">
        <v>72</v>
      </c>
      <c r="B74" s="6" t="s">
        <v>16</v>
      </c>
      <c r="C74" s="6" t="str">
        <f>"程序设计及应用（Python）"</f>
        <v>程序设计及应用（Python）</v>
      </c>
      <c r="D74" s="6" t="str">
        <f>"通识基础课"</f>
        <v>通识基础课</v>
      </c>
      <c r="E74" s="6" t="str">
        <f>"涂宏"</f>
        <v>涂宏</v>
      </c>
      <c r="F74" s="6" t="str">
        <f>"王景榕"</f>
        <v>王景榕</v>
      </c>
      <c r="G74" s="6" t="str">
        <f>"223020205003"</f>
        <v>223020205003</v>
      </c>
      <c r="H74" s="7"/>
      <c r="I74" s="7"/>
    </row>
    <row r="75" ht="37.5" spans="1:9">
      <c r="A75" s="6">
        <v>73</v>
      </c>
      <c r="B75" s="6" t="s">
        <v>16</v>
      </c>
      <c r="C75" s="6" t="str">
        <f>"移动技术开发与创业"</f>
        <v>移动技术开发与创业</v>
      </c>
      <c r="D75" s="6" t="str">
        <f>"实践环节课"</f>
        <v>实践环节课</v>
      </c>
      <c r="E75" s="6" t="str">
        <f>"周峰"</f>
        <v>周峰</v>
      </c>
      <c r="F75" s="6" t="str">
        <f>"李欣玥"</f>
        <v>李欣玥</v>
      </c>
      <c r="G75" s="6" t="str">
        <f>"222120301003"</f>
        <v>222120301003</v>
      </c>
      <c r="H75" s="7"/>
      <c r="I75" s="7"/>
    </row>
    <row r="76" ht="37.5" spans="1:9">
      <c r="A76" s="6">
        <v>74</v>
      </c>
      <c r="B76" s="6" t="s">
        <v>16</v>
      </c>
      <c r="C76" s="6" t="str">
        <f>"操作系统"</f>
        <v>操作系统</v>
      </c>
      <c r="D76" s="6" t="str">
        <f>"大学科基础课"</f>
        <v>大学科基础课</v>
      </c>
      <c r="E76" s="6" t="str">
        <f>"黄鹂"</f>
        <v>黄鹂</v>
      </c>
      <c r="F76" s="6" t="str">
        <f>"陶然"</f>
        <v>陶然</v>
      </c>
      <c r="G76" s="6" t="str">
        <f>"1230701Z1006"</f>
        <v>1230701Z1006</v>
      </c>
      <c r="H76" s="7"/>
      <c r="I76" s="7"/>
    </row>
    <row r="77" ht="37.5" spans="1:9">
      <c r="A77" s="6">
        <v>75</v>
      </c>
      <c r="B77" s="6" t="s">
        <v>16</v>
      </c>
      <c r="C77" s="6" t="str">
        <f>"人工智能与现代科技"</f>
        <v>人工智能与现代科技</v>
      </c>
      <c r="D77" s="6" t="str">
        <f>"通识基础课"</f>
        <v>通识基础课</v>
      </c>
      <c r="E77" s="6" t="str">
        <f>"马奥"</f>
        <v>马奥</v>
      </c>
      <c r="F77" s="6" t="str">
        <f>"李艳花"</f>
        <v>李艳花</v>
      </c>
      <c r="G77" s="6" t="str">
        <f>"1221202Z3002"</f>
        <v>1221202Z3002</v>
      </c>
      <c r="H77" s="7"/>
      <c r="I77" s="7"/>
    </row>
    <row r="78" ht="37.5" spans="1:9">
      <c r="A78" s="6">
        <v>76</v>
      </c>
      <c r="B78" s="6" t="s">
        <v>16</v>
      </c>
      <c r="C78" s="6" t="str">
        <f>"人工智能与现代科技"</f>
        <v>人工智能与现代科技</v>
      </c>
      <c r="D78" s="6" t="str">
        <f>"通识基础课"</f>
        <v>通识基础课</v>
      </c>
      <c r="E78" s="6" t="str">
        <f>"杨山田"</f>
        <v>杨山田</v>
      </c>
      <c r="F78" s="6" t="str">
        <f>"张超"</f>
        <v>张超</v>
      </c>
      <c r="G78" s="6" t="str">
        <f>"222081202014"</f>
        <v>222081202014</v>
      </c>
      <c r="H78" s="7"/>
      <c r="I78" s="7"/>
    </row>
    <row r="79" ht="37.5" spans="1:9">
      <c r="A79" s="6">
        <v>77</v>
      </c>
      <c r="B79" s="6" t="s">
        <v>16</v>
      </c>
      <c r="C79" s="6" t="str">
        <f>"人工智能与现代科技"</f>
        <v>人工智能与现代科技</v>
      </c>
      <c r="D79" s="6" t="str">
        <f>"通识基础课"</f>
        <v>通识基础课</v>
      </c>
      <c r="E79" s="6" t="str">
        <f>"温良剑"</f>
        <v>温良剑</v>
      </c>
      <c r="F79" s="6" t="str">
        <f>"吴美君"</f>
        <v>吴美君</v>
      </c>
      <c r="G79" s="6" t="str">
        <f>"1221201Z5004"</f>
        <v>1221201Z5004</v>
      </c>
      <c r="H79" s="7"/>
      <c r="I79" s="7"/>
    </row>
    <row r="80" ht="37.5" spans="1:9">
      <c r="A80" s="6">
        <v>78</v>
      </c>
      <c r="B80" s="6" t="s">
        <v>16</v>
      </c>
      <c r="C80" s="6" t="str">
        <f>"移动技术开发与创业"</f>
        <v>移动技术开发与创业</v>
      </c>
      <c r="D80" s="6" t="str">
        <f>"实践环节课"</f>
        <v>实践环节课</v>
      </c>
      <c r="E80" s="6" t="str">
        <f>"周峰"</f>
        <v>周峰</v>
      </c>
      <c r="F80" s="6" t="str">
        <f>"黄沁缘"</f>
        <v>黄沁缘</v>
      </c>
      <c r="G80" s="6" t="str">
        <f>"123020204012"</f>
        <v>123020204012</v>
      </c>
      <c r="H80" s="7"/>
      <c r="I80" s="7"/>
    </row>
    <row r="81" ht="37.5" spans="1:9">
      <c r="A81" s="6">
        <v>79</v>
      </c>
      <c r="B81" s="6" t="s">
        <v>16</v>
      </c>
      <c r="C81" s="6" t="str">
        <f>"商务智能MOOC"</f>
        <v>商务智能MOOC</v>
      </c>
      <c r="D81" s="6" t="str">
        <f>"慕课"</f>
        <v>慕课</v>
      </c>
      <c r="E81" s="6" t="str">
        <f>"李瑾坤"</f>
        <v>李瑾坤</v>
      </c>
      <c r="F81" s="6" t="str">
        <f>"杨杭生"</f>
        <v>杨杭生</v>
      </c>
      <c r="G81" s="6" t="str">
        <f>"122120204002"</f>
        <v>122120204002</v>
      </c>
      <c r="H81" s="7"/>
      <c r="I81" s="7"/>
    </row>
    <row r="82" ht="37.5" spans="1:9">
      <c r="A82" s="6">
        <v>80</v>
      </c>
      <c r="B82" s="6" t="s">
        <v>16</v>
      </c>
      <c r="C82" s="6" t="str">
        <f>"程序设计及应用（Python）"</f>
        <v>程序设计及应用（Python）</v>
      </c>
      <c r="D82" s="6" t="str">
        <f>"通识基础课"</f>
        <v>通识基础课</v>
      </c>
      <c r="E82" s="6" t="str">
        <f>"钟俊英"</f>
        <v>钟俊英</v>
      </c>
      <c r="F82" s="6" t="str">
        <f>"王志昊"</f>
        <v>王志昊</v>
      </c>
      <c r="G82" s="6" t="str">
        <f>"2220202Z2006"</f>
        <v>2220202Z2006</v>
      </c>
      <c r="H82" s="7"/>
      <c r="I82" s="7"/>
    </row>
    <row r="83" ht="37.5" spans="1:9">
      <c r="A83" s="6">
        <v>81</v>
      </c>
      <c r="B83" s="6" t="s">
        <v>16</v>
      </c>
      <c r="C83" s="6" t="str">
        <f>"程序设计及应用（Python）"</f>
        <v>程序设计及应用（Python）</v>
      </c>
      <c r="D83" s="6" t="str">
        <f>"通识基础课"</f>
        <v>通识基础课</v>
      </c>
      <c r="E83" s="6" t="str">
        <f>"钟俊英"</f>
        <v>钟俊英</v>
      </c>
      <c r="F83" s="6" t="str">
        <f>"叶徐涛"</f>
        <v>叶徐涛</v>
      </c>
      <c r="G83" s="6" t="str">
        <f>"2220202Z2007"</f>
        <v>2220202Z2007</v>
      </c>
      <c r="H83" s="7"/>
      <c r="I83" s="7"/>
    </row>
    <row r="84" ht="37.5" spans="1:9">
      <c r="A84" s="6">
        <v>82</v>
      </c>
      <c r="B84" s="6" t="s">
        <v>16</v>
      </c>
      <c r="C84" s="6" t="str">
        <f>"矩阵分析"</f>
        <v>矩阵分析</v>
      </c>
      <c r="D84" s="6" t="str">
        <f>"通识基础课"</f>
        <v>通识基础课</v>
      </c>
      <c r="E84" s="6" t="str">
        <f>"蒋太翔"</f>
        <v>蒋太翔</v>
      </c>
      <c r="F84" s="6" t="str">
        <f>"廖磊"</f>
        <v>廖磊</v>
      </c>
      <c r="G84" s="6" t="str">
        <f>"122020204056"</f>
        <v>122020204056</v>
      </c>
      <c r="H84" s="7"/>
      <c r="I84" s="7"/>
    </row>
    <row r="85" ht="37.5" spans="1:9">
      <c r="A85" s="6">
        <v>83</v>
      </c>
      <c r="B85" s="6" t="s">
        <v>16</v>
      </c>
      <c r="C85" s="6" t="str">
        <f>"程序设计及应用（Python）"</f>
        <v>程序设计及应用（Python）</v>
      </c>
      <c r="D85" s="6" t="str">
        <f>"通识基础课"</f>
        <v>通识基础课</v>
      </c>
      <c r="E85" s="6" t="str">
        <f>"张英"</f>
        <v>张英</v>
      </c>
      <c r="F85" s="6" t="str">
        <f>"田甜"</f>
        <v>田甜</v>
      </c>
      <c r="G85" s="6" t="str">
        <f>"223020204149"</f>
        <v>223020204149</v>
      </c>
      <c r="H85" s="7"/>
      <c r="I85" s="7"/>
    </row>
    <row r="86" ht="37.5" spans="1:9">
      <c r="A86" s="6">
        <v>84</v>
      </c>
      <c r="B86" s="6" t="s">
        <v>16</v>
      </c>
      <c r="C86" s="6" t="str">
        <f>"数据结构"</f>
        <v>数据结构</v>
      </c>
      <c r="D86" s="6" t="str">
        <f>"专业方向课"</f>
        <v>专业方向课</v>
      </c>
      <c r="E86" s="6" t="str">
        <f>"黄涛"</f>
        <v>黄涛</v>
      </c>
      <c r="F86" s="6" t="str">
        <f>"刘超"</f>
        <v>刘超</v>
      </c>
      <c r="G86" s="6" t="str">
        <f>"122120204001"</f>
        <v>122120204001</v>
      </c>
      <c r="H86" s="7"/>
      <c r="I86" s="7"/>
    </row>
    <row r="87" ht="37.5" spans="1:9">
      <c r="A87" s="6">
        <v>85</v>
      </c>
      <c r="B87" s="6" t="s">
        <v>16</v>
      </c>
      <c r="C87" s="6" t="str">
        <f>"人工智能与现代科技"</f>
        <v>人工智能与现代科技</v>
      </c>
      <c r="D87" s="6" t="str">
        <f>"通识基础课"</f>
        <v>通识基础课</v>
      </c>
      <c r="E87" s="6" t="str">
        <f>"邓烨"</f>
        <v>邓烨</v>
      </c>
      <c r="F87" s="6" t="str">
        <f>"王子嫣"</f>
        <v>王子嫣</v>
      </c>
      <c r="G87" s="6" t="str">
        <f>"222071400030"</f>
        <v>222071400030</v>
      </c>
      <c r="H87" s="7"/>
      <c r="I87" s="7"/>
    </row>
    <row r="88" ht="37.5" spans="1:9">
      <c r="A88" s="6">
        <v>86</v>
      </c>
      <c r="B88" s="6" t="s">
        <v>16</v>
      </c>
      <c r="C88" s="6" t="str">
        <f>"机器学习导论"</f>
        <v>机器学习导论</v>
      </c>
      <c r="D88" s="6" t="str">
        <f>"专业必修课"</f>
        <v>专业必修课</v>
      </c>
      <c r="E88" s="6" t="str">
        <f>"温良剑"</f>
        <v>温良剑</v>
      </c>
      <c r="F88" s="6" t="str">
        <f>"曹雪梅"</f>
        <v>曹雪梅</v>
      </c>
      <c r="G88" s="6" t="str">
        <f>"1230701Z1003"</f>
        <v>1230701Z1003</v>
      </c>
      <c r="H88" s="7"/>
      <c r="I88" s="7"/>
    </row>
    <row r="89" ht="37.5" spans="1:9">
      <c r="A89" s="6">
        <v>87</v>
      </c>
      <c r="B89" s="6" t="s">
        <v>16</v>
      </c>
      <c r="C89" s="6" t="str">
        <f>"人工智能与现代科技"</f>
        <v>人工智能与现代科技</v>
      </c>
      <c r="D89" s="6" t="str">
        <f>"通识基础课"</f>
        <v>通识基础课</v>
      </c>
      <c r="E89" s="6" t="str">
        <f>"马奥"</f>
        <v>马奥</v>
      </c>
      <c r="F89" s="6" t="str">
        <f>"胡业勋"</f>
        <v>胡业勋</v>
      </c>
      <c r="G89" s="6" t="str">
        <f>"1230701Z1004"</f>
        <v>1230701Z1004</v>
      </c>
      <c r="H89" s="7"/>
      <c r="I89" s="7"/>
    </row>
    <row r="90" ht="37.5" spans="1:9">
      <c r="A90" s="6">
        <v>88</v>
      </c>
      <c r="B90" s="6" t="s">
        <v>16</v>
      </c>
      <c r="C90" s="6" t="str">
        <f>"人工智能与现代科技"</f>
        <v>人工智能与现代科技</v>
      </c>
      <c r="D90" s="6" t="str">
        <f>"通识基础课"</f>
        <v>通识基础课</v>
      </c>
      <c r="E90" s="6" t="str">
        <f>"汤自新"</f>
        <v>汤自新</v>
      </c>
      <c r="F90" s="6" t="str">
        <f>"王景凯"</f>
        <v>王景凯</v>
      </c>
      <c r="G90" s="6" t="str">
        <f>"223081200060"</f>
        <v>223081200060</v>
      </c>
      <c r="H90" s="7"/>
      <c r="I90" s="7"/>
    </row>
    <row r="91" ht="37.5" spans="1:9">
      <c r="A91" s="6">
        <v>89</v>
      </c>
      <c r="B91" s="6" t="s">
        <v>16</v>
      </c>
      <c r="C91" s="6" t="str">
        <f>"机器学习基础"</f>
        <v>机器学习基础</v>
      </c>
      <c r="D91" s="6" t="str">
        <f>"专业必修课"</f>
        <v>专业必修课</v>
      </c>
      <c r="E91" s="6" t="str">
        <f>"黄迟"</f>
        <v>黄迟</v>
      </c>
      <c r="F91" s="6" t="str">
        <f>"杨晓龙"</f>
        <v>杨晓龙</v>
      </c>
      <c r="G91" s="6" t="str">
        <f>"122120204003"</f>
        <v>122120204003</v>
      </c>
      <c r="H91" s="7"/>
      <c r="I91" s="7"/>
    </row>
    <row r="92" ht="37.5" spans="1:9">
      <c r="A92" s="6">
        <v>90</v>
      </c>
      <c r="B92" s="6" t="s">
        <v>16</v>
      </c>
      <c r="C92" s="6" t="str">
        <f>"程序设计及应用（Python）"</f>
        <v>程序设计及应用（Python）</v>
      </c>
      <c r="D92" s="6" t="str">
        <f>"通识基础课"</f>
        <v>通识基础课</v>
      </c>
      <c r="E92" s="6" t="str">
        <f>"陈蓓"</f>
        <v>陈蓓</v>
      </c>
      <c r="F92" s="6" t="str">
        <f>"王天舒"</f>
        <v>王天舒</v>
      </c>
      <c r="G92" s="6" t="str">
        <f>"223020203015"</f>
        <v>223020203015</v>
      </c>
      <c r="H92" s="7"/>
      <c r="I92" s="7"/>
    </row>
    <row r="93" ht="37.5" spans="1:9">
      <c r="A93" s="6">
        <v>91</v>
      </c>
      <c r="B93" s="6" t="s">
        <v>16</v>
      </c>
      <c r="C93" s="6" t="str">
        <f>"算法分析与设计"</f>
        <v>算法分析与设计</v>
      </c>
      <c r="D93" s="6" t="str">
        <f>"专业必修课"</f>
        <v>专业必修课</v>
      </c>
      <c r="E93" s="6" t="str">
        <f>"王海林"</f>
        <v>王海林</v>
      </c>
      <c r="F93" s="6" t="str">
        <f>"潘梦强"</f>
        <v>潘梦强</v>
      </c>
      <c r="G93" s="6" t="str">
        <f>"122120203003"</f>
        <v>122120203003</v>
      </c>
      <c r="H93" s="7"/>
      <c r="I93" s="7"/>
    </row>
    <row r="94" ht="37.5" spans="1:9">
      <c r="A94" s="6">
        <v>92</v>
      </c>
      <c r="B94" s="6" t="s">
        <v>16</v>
      </c>
      <c r="C94" s="6" t="str">
        <f>"Python应用基础MOOC"</f>
        <v>Python应用基础MOOC</v>
      </c>
      <c r="D94" s="6" t="str">
        <f>"慕课"</f>
        <v>慕课</v>
      </c>
      <c r="E94" s="6" t="str">
        <f>"谢志龙"</f>
        <v>谢志龙</v>
      </c>
      <c r="F94" s="6" t="str">
        <f>"黄计雯"</f>
        <v>黄计雯</v>
      </c>
      <c r="G94" s="6" t="str">
        <f>"121020204050"</f>
        <v>121020204050</v>
      </c>
      <c r="H94" s="7"/>
      <c r="I94" s="7"/>
    </row>
    <row r="95" ht="37.5" spans="1:9">
      <c r="A95" s="6">
        <v>93</v>
      </c>
      <c r="B95" s="6" t="s">
        <v>16</v>
      </c>
      <c r="C95" s="6" t="str">
        <f>"人工智能与金融"</f>
        <v>人工智能与金融</v>
      </c>
      <c r="D95" s="6" t="str">
        <f>"专业方向课"</f>
        <v>专业方向课</v>
      </c>
      <c r="E95" s="6" t="str">
        <f>"王涛"</f>
        <v>王涛</v>
      </c>
      <c r="F95" s="6" t="str">
        <f>"巩豪博"</f>
        <v>巩豪博</v>
      </c>
      <c r="G95" s="6" t="str">
        <f>"2230202Z1015"</f>
        <v>2230202Z1015</v>
      </c>
      <c r="H95" s="7"/>
      <c r="I95" s="7"/>
    </row>
    <row r="96" ht="37.5" spans="1:9">
      <c r="A96" s="6">
        <v>94</v>
      </c>
      <c r="B96" s="6" t="s">
        <v>16</v>
      </c>
      <c r="C96" s="6" t="str">
        <f>"程序设计及应用（Python）"</f>
        <v>程序设计及应用（Python）</v>
      </c>
      <c r="D96" s="6" t="str">
        <f>"通识基础课"</f>
        <v>通识基础课</v>
      </c>
      <c r="E96" s="6" t="str">
        <f>"张英"</f>
        <v>张英</v>
      </c>
      <c r="F96" s="6" t="str">
        <f>"曹磊"</f>
        <v>曹磊</v>
      </c>
      <c r="G96" s="6" t="str">
        <f>"222081203025"</f>
        <v>222081203025</v>
      </c>
      <c r="H96" s="7"/>
      <c r="I96" s="7"/>
    </row>
    <row r="97" ht="37.5" spans="1:9">
      <c r="A97" s="6">
        <v>95</v>
      </c>
      <c r="B97" s="6" t="s">
        <v>16</v>
      </c>
      <c r="C97" s="6" t="str">
        <f>"机器学习基础"</f>
        <v>机器学习基础</v>
      </c>
      <c r="D97" s="6" t="str">
        <f>"专业必修课"</f>
        <v>专业必修课</v>
      </c>
      <c r="E97" s="6" t="str">
        <f>"黄迟"</f>
        <v>黄迟</v>
      </c>
      <c r="F97" s="6" t="str">
        <f>"李爱民"</f>
        <v>李爱民</v>
      </c>
      <c r="G97" s="6" t="str">
        <f>"1230701Z1001"</f>
        <v>1230701Z1001</v>
      </c>
      <c r="H97" s="7"/>
      <c r="I97" s="7"/>
    </row>
    <row r="98" ht="37.5" spans="1:9">
      <c r="A98" s="6">
        <v>96</v>
      </c>
      <c r="B98" s="6" t="s">
        <v>16</v>
      </c>
      <c r="C98" s="6" t="str">
        <f>"微信小程序开发实践"</f>
        <v>微信小程序开发实践</v>
      </c>
      <c r="D98" s="6" t="str">
        <f>"自由选修课"</f>
        <v>自由选修课</v>
      </c>
      <c r="E98" s="6" t="str">
        <f>"杜芳"</f>
        <v>杜芳</v>
      </c>
      <c r="F98" s="6" t="str">
        <f>"王秋晗"</f>
        <v>王秋晗</v>
      </c>
      <c r="G98" s="6" t="str">
        <f>"1210201Z2002"</f>
        <v>1210201Z2002</v>
      </c>
      <c r="H98" s="7"/>
      <c r="I98" s="7"/>
    </row>
    <row r="99" ht="37.5" spans="1:9">
      <c r="A99" s="6">
        <v>97</v>
      </c>
      <c r="B99" s="6" t="s">
        <v>16</v>
      </c>
      <c r="C99" s="6" t="str">
        <f>"人工智能与现代科技"</f>
        <v>人工智能与现代科技</v>
      </c>
      <c r="D99" s="6" t="str">
        <f>"通识基础课"</f>
        <v>通识基础课</v>
      </c>
      <c r="E99" s="6" t="str">
        <f>"温良剑"</f>
        <v>温良剑</v>
      </c>
      <c r="F99" s="6" t="str">
        <f>"刘庆超"</f>
        <v>刘庆超</v>
      </c>
      <c r="G99" s="6" t="str">
        <f>"123020204007"</f>
        <v>123020204007</v>
      </c>
      <c r="H99" s="7"/>
      <c r="I99" s="7"/>
    </row>
    <row r="100" ht="37.5" spans="1:9">
      <c r="A100" s="6">
        <v>98</v>
      </c>
      <c r="B100" s="6" t="s">
        <v>16</v>
      </c>
      <c r="C100" s="6" t="str">
        <f>"程序设计及应用（Python）"</f>
        <v>程序设计及应用（Python）</v>
      </c>
      <c r="D100" s="6" t="str">
        <f>"通识基础课"</f>
        <v>通识基础课</v>
      </c>
      <c r="E100" s="6" t="str">
        <f>"陈蓓"</f>
        <v>陈蓓</v>
      </c>
      <c r="F100" s="6" t="str">
        <f>"郑泽旭"</f>
        <v>郑泽旭</v>
      </c>
      <c r="G100" s="6" t="str">
        <f>"1230202Z2005"</f>
        <v>1230202Z2005</v>
      </c>
      <c r="H100" s="7"/>
      <c r="I100" s="7"/>
    </row>
    <row r="101" ht="37.5" spans="1:9">
      <c r="A101" s="6">
        <v>99</v>
      </c>
      <c r="B101" s="6" t="s">
        <v>16</v>
      </c>
      <c r="C101" s="6" t="str">
        <f>"人工智能与现代科技"</f>
        <v>人工智能与现代科技</v>
      </c>
      <c r="D101" s="6" t="str">
        <f>"通识基础课"</f>
        <v>通识基础课</v>
      </c>
      <c r="E101" s="6" t="str">
        <f>"杨山田"</f>
        <v>杨山田</v>
      </c>
      <c r="F101" s="6" t="str">
        <f>"王向坤"</f>
        <v>王向坤</v>
      </c>
      <c r="G101" s="6" t="str">
        <f>"222081202013"</f>
        <v>222081202013</v>
      </c>
      <c r="H101" s="7"/>
      <c r="I101" s="7"/>
    </row>
    <row r="102" ht="37.5" spans="1:9">
      <c r="A102" s="6">
        <v>100</v>
      </c>
      <c r="B102" s="6" t="s">
        <v>16</v>
      </c>
      <c r="C102" s="6" t="str">
        <f>"程序设计及应用（Python）"</f>
        <v>程序设计及应用（Python）</v>
      </c>
      <c r="D102" s="6" t="str">
        <f>"通识基础课"</f>
        <v>通识基础课</v>
      </c>
      <c r="E102" s="6" t="str">
        <f>"钟俊英"</f>
        <v>钟俊英</v>
      </c>
      <c r="F102" s="6" t="str">
        <f>"田振中"</f>
        <v>田振中</v>
      </c>
      <c r="G102" s="6" t="str">
        <f>"121020209003"</f>
        <v>121020209003</v>
      </c>
      <c r="H102" s="7"/>
      <c r="I102" s="7"/>
    </row>
    <row r="103" ht="37.5" spans="1:9">
      <c r="A103" s="6">
        <v>101</v>
      </c>
      <c r="B103" s="6" t="s">
        <v>16</v>
      </c>
      <c r="C103" s="6" t="str">
        <f>"计算机组成原理"</f>
        <v>计算机组成原理</v>
      </c>
      <c r="D103" s="6" t="str">
        <f>"专业必修课"</f>
        <v>专业必修课</v>
      </c>
      <c r="E103" s="6" t="str">
        <f>"马奥"</f>
        <v>马奥</v>
      </c>
      <c r="F103" s="6" t="str">
        <f>"潘超凡"</f>
        <v>潘超凡</v>
      </c>
      <c r="G103" s="6" t="str">
        <f>"1230701Z1005"</f>
        <v>1230701Z1005</v>
      </c>
      <c r="H103" s="7"/>
      <c r="I103" s="7"/>
    </row>
    <row r="104" ht="37.5" spans="1:9">
      <c r="A104" s="6">
        <v>102</v>
      </c>
      <c r="B104" s="6" t="s">
        <v>16</v>
      </c>
      <c r="C104" s="6" t="str">
        <f>"人工智能与现代科技"</f>
        <v>人工智能与现代科技</v>
      </c>
      <c r="D104" s="6" t="str">
        <f>"通识基础课"</f>
        <v>通识基础课</v>
      </c>
      <c r="E104" s="6" t="str">
        <f>"邓烨"</f>
        <v>邓烨</v>
      </c>
      <c r="F104" s="6" t="str">
        <f>"陈乐行"</f>
        <v>陈乐行</v>
      </c>
      <c r="G104" s="6" t="str">
        <f>"1221202Z3001"</f>
        <v>1221202Z3001</v>
      </c>
      <c r="H104" s="7"/>
      <c r="I104" s="7"/>
    </row>
    <row r="105" ht="37.5" spans="1:9">
      <c r="A105" s="6">
        <v>103</v>
      </c>
      <c r="B105" s="6" t="s">
        <v>16</v>
      </c>
      <c r="C105" s="6" t="str">
        <f>"程序设计及应用（Python）"</f>
        <v>程序设计及应用（Python）</v>
      </c>
      <c r="D105" s="6" t="str">
        <f>"通识基础课"</f>
        <v>通识基础课</v>
      </c>
      <c r="E105" s="6" t="str">
        <f>"张英"</f>
        <v>张英</v>
      </c>
      <c r="F105" s="6" t="str">
        <f>"杨泽宇"</f>
        <v>杨泽宇</v>
      </c>
      <c r="G105" s="6" t="str">
        <f>"2231201Z5025"</f>
        <v>2231201Z5025</v>
      </c>
      <c r="H105" s="7"/>
      <c r="I105" s="7"/>
    </row>
    <row r="106" ht="37.5" spans="1:9">
      <c r="A106" s="6">
        <v>104</v>
      </c>
      <c r="B106" s="6" t="s">
        <v>16</v>
      </c>
      <c r="C106" s="6" t="str">
        <f>"程序设计及应用（Python）"</f>
        <v>程序设计及应用（Python）</v>
      </c>
      <c r="D106" s="6" t="str">
        <f>"通识基础课"</f>
        <v>通识基础课</v>
      </c>
      <c r="E106" s="6" t="str">
        <f>"谢志龙"</f>
        <v>谢志龙</v>
      </c>
      <c r="F106" s="6" t="str">
        <f>"杜欣洁"</f>
        <v>杜欣洁</v>
      </c>
      <c r="G106" s="6" t="str">
        <f>"223120100009"</f>
        <v>223120100009</v>
      </c>
      <c r="H106" s="7"/>
      <c r="I106" s="7"/>
    </row>
    <row r="107" ht="37.5" spans="1:9">
      <c r="A107" s="6">
        <v>105</v>
      </c>
      <c r="B107" s="6" t="s">
        <v>16</v>
      </c>
      <c r="C107" s="6" t="str">
        <f>"实时大数据分析实践"</f>
        <v>实时大数据分析实践</v>
      </c>
      <c r="D107" s="6" t="str">
        <f>"自由选修课"</f>
        <v>自由选修课</v>
      </c>
      <c r="E107" s="6" t="str">
        <f>"杜芳"</f>
        <v>杜芳</v>
      </c>
      <c r="F107" s="6" t="str">
        <f>"王小青"</f>
        <v>王小青</v>
      </c>
      <c r="G107" s="6" t="str">
        <f>"121020205004"</f>
        <v>121020205004</v>
      </c>
      <c r="H107" s="7"/>
      <c r="I107" s="7"/>
    </row>
    <row r="108" ht="37.5" spans="1:9">
      <c r="A108" s="6">
        <v>106</v>
      </c>
      <c r="B108" s="6" t="s">
        <v>16</v>
      </c>
      <c r="C108" s="6" t="str">
        <f>"大学物理"</f>
        <v>大学物理</v>
      </c>
      <c r="D108" s="6" t="str">
        <f>"通识基础课"</f>
        <v>通识基础课</v>
      </c>
      <c r="E108" s="6" t="str">
        <f>"汤自新"</f>
        <v>汤自新</v>
      </c>
      <c r="F108" s="6" t="str">
        <f>"谭亦轩"</f>
        <v>谭亦轩</v>
      </c>
      <c r="G108" s="6" t="str">
        <f>"123020203002"</f>
        <v>123020203002</v>
      </c>
      <c r="H108" s="7"/>
      <c r="I108" s="7"/>
    </row>
    <row r="109" ht="37.5" spans="1:9">
      <c r="A109" s="6">
        <v>107</v>
      </c>
      <c r="B109" s="6" t="s">
        <v>17</v>
      </c>
      <c r="C109" s="6" t="str">
        <f>"货币金融学"</f>
        <v>货币金融学</v>
      </c>
      <c r="D109" s="6" t="str">
        <f>"大学科基础课"</f>
        <v>大学科基础课</v>
      </c>
      <c r="E109" s="6" t="str">
        <f>"欧阳勇"</f>
        <v>欧阳勇</v>
      </c>
      <c r="F109" s="6" t="str">
        <f>"王思哲"</f>
        <v>王思哲</v>
      </c>
      <c r="G109" s="6" t="str">
        <f>"223025100199"</f>
        <v>223025100199</v>
      </c>
      <c r="H109" s="7"/>
      <c r="I109" s="7"/>
    </row>
    <row r="110" ht="23" customHeight="1" spans="1:9">
      <c r="A110" s="6">
        <v>108</v>
      </c>
      <c r="B110" s="6" t="s">
        <v>17</v>
      </c>
      <c r="C110" s="6" t="str">
        <f>"公司金融学MOOC"</f>
        <v>公司金融学MOOC</v>
      </c>
      <c r="D110" s="6" t="str">
        <f>"慕课"</f>
        <v>慕课</v>
      </c>
      <c r="E110" s="6" t="str">
        <f>"许志"</f>
        <v>许志</v>
      </c>
      <c r="F110" s="6" t="str">
        <f>"苏楷娟"</f>
        <v>苏楷娟</v>
      </c>
      <c r="G110" s="6" t="str">
        <f>"223020204068"</f>
        <v>223020204068</v>
      </c>
      <c r="H110" s="7"/>
      <c r="I110" s="7"/>
    </row>
    <row r="111" ht="37.5" spans="1:9">
      <c r="A111" s="6">
        <v>109</v>
      </c>
      <c r="B111" s="6" t="s">
        <v>17</v>
      </c>
      <c r="C111" s="6" t="str">
        <f>"会计学"</f>
        <v>会计学</v>
      </c>
      <c r="D111" s="6" t="str">
        <f>"大学科基础课"</f>
        <v>大学科基础课</v>
      </c>
      <c r="E111" s="6" t="str">
        <f>"张婷婷"</f>
        <v>张婷婷</v>
      </c>
      <c r="F111" s="6" t="str">
        <f>"王洪艳"</f>
        <v>王洪艳</v>
      </c>
      <c r="G111" s="6" t="str">
        <f>"2220202Z7009"</f>
        <v>2220202Z7009</v>
      </c>
      <c r="H111" s="7"/>
      <c r="I111" s="7"/>
    </row>
    <row r="112" ht="37.5" spans="1:9">
      <c r="A112" s="6">
        <v>110</v>
      </c>
      <c r="B112" s="6" t="s">
        <v>17</v>
      </c>
      <c r="C112" s="6" t="str">
        <f>"货币金融学"</f>
        <v>货币金融学</v>
      </c>
      <c r="D112" s="6" t="str">
        <f>"大学科基础课"</f>
        <v>大学科基础课</v>
      </c>
      <c r="E112" s="6" t="str">
        <f>"戴艳萍"</f>
        <v>戴艳萍</v>
      </c>
      <c r="F112" s="6" t="str">
        <f>"刘家豪"</f>
        <v>刘家豪</v>
      </c>
      <c r="G112" s="6" t="str">
        <f>"1210202Z2002"</f>
        <v>1210202Z2002</v>
      </c>
      <c r="H112" s="7"/>
      <c r="I112" s="7"/>
    </row>
    <row r="113" ht="37.5" spans="1:9">
      <c r="A113" s="6">
        <v>111</v>
      </c>
      <c r="B113" s="6" t="s">
        <v>17</v>
      </c>
      <c r="C113" s="6" t="str">
        <f>"货币金融学"</f>
        <v>货币金融学</v>
      </c>
      <c r="D113" s="6" t="str">
        <f>"大学科基础课"</f>
        <v>大学科基础课</v>
      </c>
      <c r="E113" s="6" t="str">
        <f>"周丽晖"</f>
        <v>周丽晖</v>
      </c>
      <c r="F113" s="6" t="str">
        <f>"罗健夫"</f>
        <v>罗健夫</v>
      </c>
      <c r="G113" s="6" t="str">
        <f>"2220202J1014"</f>
        <v>2220202J1014</v>
      </c>
      <c r="H113" s="7"/>
      <c r="I113" s="7"/>
    </row>
    <row r="114" ht="37.5" spans="1:9">
      <c r="A114" s="6">
        <v>112</v>
      </c>
      <c r="B114" s="6" t="s">
        <v>17</v>
      </c>
      <c r="C114" s="6" t="str">
        <f>"数理统计(双语）"</f>
        <v>数理统计(双语）</v>
      </c>
      <c r="D114" s="6" t="str">
        <f>"大学科基础课"</f>
        <v>大学科基础课</v>
      </c>
      <c r="E114" s="6" t="str">
        <f>"凌星"</f>
        <v>凌星</v>
      </c>
      <c r="F114" s="6" t="str">
        <f>"朱一凡"</f>
        <v>朱一凡</v>
      </c>
      <c r="G114" s="6" t="str">
        <f>"122071400005"</f>
        <v>122071400005</v>
      </c>
      <c r="H114" s="7"/>
      <c r="I114" s="7"/>
    </row>
    <row r="115" ht="18.75" spans="1:9">
      <c r="A115" s="6">
        <v>113</v>
      </c>
      <c r="B115" s="6" t="s">
        <v>17</v>
      </c>
      <c r="C115" s="6" t="str">
        <f>"普惠金融MOOC"</f>
        <v>普惠金融MOOC</v>
      </c>
      <c r="D115" s="6" t="str">
        <f>"慕课"</f>
        <v>慕课</v>
      </c>
      <c r="E115" s="6" t="str">
        <f>"张晓玫"</f>
        <v>张晓玫</v>
      </c>
      <c r="F115" s="6" t="str">
        <f>"钱臻"</f>
        <v>钱臻</v>
      </c>
      <c r="G115" s="6" t="str">
        <f>"222020204006"</f>
        <v>222020204006</v>
      </c>
      <c r="H115" s="7"/>
      <c r="I115" s="7"/>
    </row>
    <row r="116" ht="37.5" spans="1:9">
      <c r="A116" s="6">
        <v>114</v>
      </c>
      <c r="B116" s="6" t="s">
        <v>17</v>
      </c>
      <c r="C116" s="6" t="str">
        <f>"货币金融学"</f>
        <v>货币金融学</v>
      </c>
      <c r="D116" s="6" t="str">
        <f>"大学科基础课"</f>
        <v>大学科基础课</v>
      </c>
      <c r="E116" s="6" t="str">
        <f>"周丽晖"</f>
        <v>周丽晖</v>
      </c>
      <c r="F116" s="6" t="str">
        <f>"雷娅南"</f>
        <v>雷娅南</v>
      </c>
      <c r="G116" s="6" t="str">
        <f>"2230202J9002"</f>
        <v>2230202J9002</v>
      </c>
      <c r="H116" s="7"/>
      <c r="I116" s="7"/>
    </row>
    <row r="117" ht="37.5" spans="1:9">
      <c r="A117" s="6">
        <v>115</v>
      </c>
      <c r="B117" s="6" t="s">
        <v>17</v>
      </c>
      <c r="C117" s="6" t="str">
        <f>"金融风险管理"</f>
        <v>金融风险管理</v>
      </c>
      <c r="D117" s="6" t="str">
        <f>"专业方向课"</f>
        <v>专业方向课</v>
      </c>
      <c r="E117" s="6" t="str">
        <f>"朱波"</f>
        <v>朱波</v>
      </c>
      <c r="F117" s="6" t="str">
        <f>"周思彤"</f>
        <v>周思彤</v>
      </c>
      <c r="G117" s="6" t="str">
        <f>"2230202Z2025"</f>
        <v>2230202Z2025</v>
      </c>
      <c r="H117" s="7"/>
      <c r="I117" s="7"/>
    </row>
    <row r="118" ht="37.5" spans="1:9">
      <c r="A118" s="6">
        <v>116</v>
      </c>
      <c r="B118" s="6" t="s">
        <v>17</v>
      </c>
      <c r="C118" s="6" t="str">
        <f>"R语言与金融数据挖掘MOOC"</f>
        <v>R语言与金融数据挖掘MOOC</v>
      </c>
      <c r="D118" s="6" t="str">
        <f>"慕课"</f>
        <v>慕课</v>
      </c>
      <c r="E118" s="6" t="str">
        <f>"申宇"</f>
        <v>申宇</v>
      </c>
      <c r="F118" s="6" t="str">
        <f>"黄睿玲"</f>
        <v>黄睿玲</v>
      </c>
      <c r="G118" s="6" t="str">
        <f>"123020204016"</f>
        <v>123020204016</v>
      </c>
      <c r="H118" s="7"/>
      <c r="I118" s="7"/>
    </row>
    <row r="119" ht="18.75" spans="1:9">
      <c r="A119" s="6">
        <v>117</v>
      </c>
      <c r="B119" s="6" t="s">
        <v>17</v>
      </c>
      <c r="C119" s="6" t="str">
        <f>"绿色金融MOOC"</f>
        <v>绿色金融MOOC</v>
      </c>
      <c r="D119" s="6" t="str">
        <f>"慕课"</f>
        <v>慕课</v>
      </c>
      <c r="E119" s="6" t="str">
        <f>"李志勇"</f>
        <v>李志勇</v>
      </c>
      <c r="F119" s="6" t="str">
        <f>"冷明艳"</f>
        <v>冷明艳</v>
      </c>
      <c r="G119" s="6" t="str">
        <f>"2220202J1020"</f>
        <v>2220202J1020</v>
      </c>
      <c r="H119" s="7"/>
      <c r="I119" s="7"/>
    </row>
    <row r="120" ht="37.5" spans="1:9">
      <c r="A120" s="6">
        <v>118</v>
      </c>
      <c r="B120" s="6" t="s">
        <v>17</v>
      </c>
      <c r="C120" s="6" t="str">
        <f>"货币金融学"</f>
        <v>货币金融学</v>
      </c>
      <c r="D120" s="6" t="str">
        <f>"大学科基础课"</f>
        <v>大学科基础课</v>
      </c>
      <c r="E120" s="6" t="str">
        <f>"戴艳萍"</f>
        <v>戴艳萍</v>
      </c>
      <c r="F120" s="6" t="str">
        <f>"马莹"</f>
        <v>马莹</v>
      </c>
      <c r="G120" s="6" t="str">
        <f>"123020204018"</f>
        <v>123020204018</v>
      </c>
      <c r="H120" s="7"/>
      <c r="I120" s="7"/>
    </row>
    <row r="121" ht="18.75" spans="1:9">
      <c r="A121" s="6">
        <v>119</v>
      </c>
      <c r="B121" s="6" t="str">
        <f>"金融学院"</f>
        <v>金融学院</v>
      </c>
      <c r="C121" s="6" t="str">
        <f>"保险合同法MOOC"</f>
        <v>保险合同法MOOC</v>
      </c>
      <c r="D121" s="6" t="str">
        <f>"慕课"</f>
        <v>慕课</v>
      </c>
      <c r="E121" s="6" t="str">
        <f>"王伊琳"</f>
        <v>王伊琳</v>
      </c>
      <c r="F121" s="6" t="str">
        <f>"国吉帅"</f>
        <v>国吉帅</v>
      </c>
      <c r="G121" s="6" t="str">
        <f>"2220202Z7020"</f>
        <v>2220202Z7020</v>
      </c>
      <c r="H121" s="7"/>
      <c r="I121" s="7"/>
    </row>
    <row r="122" ht="18.75" spans="1:9">
      <c r="A122" s="6">
        <v>120</v>
      </c>
      <c r="B122" s="6" t="s">
        <v>17</v>
      </c>
      <c r="C122" s="6" t="str">
        <f>"投资学MOOC"</f>
        <v>投资学MOOC</v>
      </c>
      <c r="D122" s="6" t="str">
        <f>"慕课"</f>
        <v>慕课</v>
      </c>
      <c r="E122" s="6" t="str">
        <f>"夏潆焱"</f>
        <v>夏潆焱</v>
      </c>
      <c r="F122" s="6" t="str">
        <f>"吴小红"</f>
        <v>吴小红</v>
      </c>
      <c r="G122" s="6" t="str">
        <f>"223020204025"</f>
        <v>223020204025</v>
      </c>
      <c r="H122" s="7"/>
      <c r="I122" s="7"/>
    </row>
    <row r="123" ht="37.5" spans="1:9">
      <c r="A123" s="6">
        <v>121</v>
      </c>
      <c r="B123" s="6" t="s">
        <v>17</v>
      </c>
      <c r="C123" s="6" t="str">
        <f>"货币金融学"</f>
        <v>货币金融学</v>
      </c>
      <c r="D123" s="6" t="str">
        <f>"大学科基础课"</f>
        <v>大学科基础课</v>
      </c>
      <c r="E123" s="6" t="str">
        <f>"肖宇"</f>
        <v>肖宇</v>
      </c>
      <c r="F123" s="6" t="str">
        <f>"郭进"</f>
        <v>郭进</v>
      </c>
      <c r="G123" s="6" t="str">
        <f>"119020204036"</f>
        <v>119020204036</v>
      </c>
      <c r="H123" s="7"/>
      <c r="I123" s="7"/>
    </row>
    <row r="124" ht="37.5" spans="1:9">
      <c r="A124" s="6">
        <v>122</v>
      </c>
      <c r="B124" s="6" t="s">
        <v>17</v>
      </c>
      <c r="C124" s="6" t="str">
        <f>"Corporate FinanceMOOC"</f>
        <v>Corporate FinanceMOOC</v>
      </c>
      <c r="D124" s="6" t="str">
        <f>"慕课"</f>
        <v>慕课</v>
      </c>
      <c r="E124" s="6" t="str">
        <f>"许志"</f>
        <v>许志</v>
      </c>
      <c r="F124" s="6" t="str">
        <f>"谢茗"</f>
        <v>谢茗</v>
      </c>
      <c r="G124" s="6" t="str">
        <f>"222020204015"</f>
        <v>222020204015</v>
      </c>
      <c r="H124" s="7"/>
      <c r="I124" s="7"/>
    </row>
    <row r="125" ht="37.5" spans="1:9">
      <c r="A125" s="6">
        <v>123</v>
      </c>
      <c r="B125" s="6" t="s">
        <v>18</v>
      </c>
      <c r="C125" s="6" t="str">
        <f>"宏观经济学"</f>
        <v>宏观经济学</v>
      </c>
      <c r="D125" s="6" t="str">
        <f>"大学科基础课"</f>
        <v>大学科基础课</v>
      </c>
      <c r="E125" s="6" t="str">
        <f>"王爱伦"</f>
        <v>王爱伦</v>
      </c>
      <c r="F125" s="6" t="str">
        <f>"朱梅"</f>
        <v>朱梅</v>
      </c>
      <c r="G125" s="6" t="str">
        <f>"222020105010"</f>
        <v>222020105010</v>
      </c>
      <c r="H125" s="7"/>
      <c r="I125" s="7"/>
    </row>
    <row r="126" ht="37.5" spans="1:9">
      <c r="A126" s="6">
        <v>124</v>
      </c>
      <c r="B126" s="6" t="s">
        <v>18</v>
      </c>
      <c r="C126" s="6" t="str">
        <f>"微观经济学"</f>
        <v>微观经济学</v>
      </c>
      <c r="D126" s="6" t="str">
        <f>"大学科基础课"</f>
        <v>大学科基础课</v>
      </c>
      <c r="E126" s="6" t="str">
        <f>"黄大康"</f>
        <v>黄大康</v>
      </c>
      <c r="F126" s="6" t="str">
        <f>"李天驹"</f>
        <v>李天驹</v>
      </c>
      <c r="G126" s="6" t="str">
        <f>"1221201J3002"</f>
        <v>1221201J3002</v>
      </c>
      <c r="H126" s="7"/>
      <c r="I126" s="7"/>
    </row>
    <row r="127" ht="37.5" spans="1:9">
      <c r="A127" s="6">
        <v>125</v>
      </c>
      <c r="B127" s="6" t="s">
        <v>18</v>
      </c>
      <c r="C127" s="6" t="str">
        <f>"中国发展经济学"</f>
        <v>中国发展经济学</v>
      </c>
      <c r="D127" s="6" t="str">
        <f>"专业方向课"</f>
        <v>专业方向课</v>
      </c>
      <c r="E127" s="6" t="str">
        <f>"蔡晓陈"</f>
        <v>蔡晓陈</v>
      </c>
      <c r="F127" s="6" t="str">
        <f>"陈静宇"</f>
        <v>陈静宇</v>
      </c>
      <c r="G127" s="6" t="str">
        <f>"2220201Z2002"</f>
        <v>2220201Z2002</v>
      </c>
      <c r="H127" s="7"/>
      <c r="I127" s="7"/>
    </row>
    <row r="128" ht="37.5" spans="1:9">
      <c r="A128" s="6">
        <v>126</v>
      </c>
      <c r="B128" s="6" t="s">
        <v>18</v>
      </c>
      <c r="C128" s="6" t="str">
        <f>"宏观经济学"</f>
        <v>宏观经济学</v>
      </c>
      <c r="D128" s="6" t="str">
        <f t="shared" ref="D128:D140" si="3">"大学科基础课"</f>
        <v>大学科基础课</v>
      </c>
      <c r="E128" s="6" t="str">
        <f>"王爱伦"</f>
        <v>王爱伦</v>
      </c>
      <c r="F128" s="6" t="str">
        <f>"胡硕"</f>
        <v>胡硕</v>
      </c>
      <c r="G128" s="6" t="str">
        <f>"123020105003"</f>
        <v>123020105003</v>
      </c>
      <c r="H128" s="7"/>
      <c r="I128" s="7"/>
    </row>
    <row r="129" ht="37.5" spans="1:9">
      <c r="A129" s="6">
        <v>127</v>
      </c>
      <c r="B129" s="6" t="s">
        <v>18</v>
      </c>
      <c r="C129" s="6" t="str">
        <f>"宏观经济学"</f>
        <v>宏观经济学</v>
      </c>
      <c r="D129" s="6" t="str">
        <f t="shared" si="3"/>
        <v>大学科基础课</v>
      </c>
      <c r="E129" s="6" t="str">
        <f>"栾炳江"</f>
        <v>栾炳江</v>
      </c>
      <c r="F129" s="6" t="str">
        <f>"刘丽娇"</f>
        <v>刘丽娇</v>
      </c>
      <c r="G129" s="6" t="str">
        <f>"122020104002"</f>
        <v>122020104002</v>
      </c>
      <c r="H129" s="7"/>
      <c r="I129" s="7"/>
    </row>
    <row r="130" ht="37.5" spans="1:9">
      <c r="A130" s="6">
        <v>128</v>
      </c>
      <c r="B130" s="6" t="s">
        <v>18</v>
      </c>
      <c r="C130" s="6" t="str">
        <f>"政治经济学"</f>
        <v>政治经济学</v>
      </c>
      <c r="D130" s="6" t="str">
        <f t="shared" si="3"/>
        <v>大学科基础课</v>
      </c>
      <c r="E130" s="6" t="str">
        <f>"徐志向"</f>
        <v>徐志向</v>
      </c>
      <c r="F130" s="6" t="str">
        <f>"杨涛年"</f>
        <v>杨涛年</v>
      </c>
      <c r="G130" s="6" t="str">
        <f>"222020101008"</f>
        <v>222020101008</v>
      </c>
      <c r="H130" s="7"/>
      <c r="I130" s="7"/>
    </row>
    <row r="131" ht="37.5" spans="1:9">
      <c r="A131" s="6">
        <v>129</v>
      </c>
      <c r="B131" s="6" t="s">
        <v>18</v>
      </c>
      <c r="C131" s="6" t="str">
        <f>"宏观经济学"</f>
        <v>宏观经济学</v>
      </c>
      <c r="D131" s="6" t="str">
        <f t="shared" si="3"/>
        <v>大学科基础课</v>
      </c>
      <c r="E131" s="6" t="str">
        <f>"刘书祥"</f>
        <v>刘书祥</v>
      </c>
      <c r="F131" s="6" t="str">
        <f>"陈诺"</f>
        <v>陈诺</v>
      </c>
      <c r="G131" s="6" t="str">
        <f>"223020104023"</f>
        <v>223020104023</v>
      </c>
      <c r="H131" s="7"/>
      <c r="I131" s="7"/>
    </row>
    <row r="132" ht="37.5" spans="1:9">
      <c r="A132" s="6">
        <v>130</v>
      </c>
      <c r="B132" s="6" t="s">
        <v>18</v>
      </c>
      <c r="C132" s="6" t="str">
        <f>"政治经济学"</f>
        <v>政治经济学</v>
      </c>
      <c r="D132" s="6" t="str">
        <f t="shared" si="3"/>
        <v>大学科基础课</v>
      </c>
      <c r="E132" s="6" t="str">
        <f>"刘璐"</f>
        <v>刘璐</v>
      </c>
      <c r="F132" s="6" t="str">
        <f>"梅澜川"</f>
        <v>梅澜川</v>
      </c>
      <c r="G132" s="6" t="str">
        <f>"222020101009"</f>
        <v>222020101009</v>
      </c>
      <c r="H132" s="7"/>
      <c r="I132" s="7"/>
    </row>
    <row r="133" ht="37.5" spans="1:9">
      <c r="A133" s="6">
        <v>131</v>
      </c>
      <c r="B133" s="6" t="s">
        <v>18</v>
      </c>
      <c r="C133" s="6" t="str">
        <f>"政治经济学"</f>
        <v>政治经济学</v>
      </c>
      <c r="D133" s="6" t="str">
        <f t="shared" si="3"/>
        <v>大学科基础课</v>
      </c>
      <c r="E133" s="6" t="str">
        <f>"蒋南平"</f>
        <v>蒋南平</v>
      </c>
      <c r="F133" s="6" t="str">
        <f>"李雨琦"</f>
        <v>李雨琦</v>
      </c>
      <c r="G133" s="6" t="str">
        <f>"222020101020"</f>
        <v>222020101020</v>
      </c>
      <c r="H133" s="7"/>
      <c r="I133" s="7"/>
    </row>
    <row r="134" ht="37.5" spans="1:9">
      <c r="A134" s="6">
        <v>132</v>
      </c>
      <c r="B134" s="6" t="s">
        <v>18</v>
      </c>
      <c r="C134" s="6" t="str">
        <f>"政治经济学"</f>
        <v>政治经济学</v>
      </c>
      <c r="D134" s="6" t="str">
        <f t="shared" si="3"/>
        <v>大学科基础课</v>
      </c>
      <c r="E134" s="6" t="str">
        <f>"王军"</f>
        <v>王军</v>
      </c>
      <c r="F134" s="6" t="str">
        <f>"杜益"</f>
        <v>杜益</v>
      </c>
      <c r="G134" s="6" t="str">
        <f>"222020101002"</f>
        <v>222020101002</v>
      </c>
      <c r="H134" s="7"/>
      <c r="I134" s="7"/>
    </row>
    <row r="135" ht="37.5" spans="1:9">
      <c r="A135" s="6">
        <v>133</v>
      </c>
      <c r="B135" s="6" t="s">
        <v>18</v>
      </c>
      <c r="C135" s="6" t="str">
        <f>"宏观经济学"</f>
        <v>宏观经济学</v>
      </c>
      <c r="D135" s="6" t="str">
        <f t="shared" si="3"/>
        <v>大学科基础课</v>
      </c>
      <c r="E135" s="6" t="str">
        <f>"戴薇"</f>
        <v>戴薇</v>
      </c>
      <c r="F135" s="6" t="str">
        <f>"官卫美"</f>
        <v>官卫美</v>
      </c>
      <c r="G135" s="6" t="str">
        <f>"222020104025"</f>
        <v>222020104025</v>
      </c>
      <c r="H135" s="7"/>
      <c r="I135" s="7"/>
    </row>
    <row r="136" ht="37.5" spans="1:9">
      <c r="A136" s="6">
        <v>134</v>
      </c>
      <c r="B136" s="6" t="s">
        <v>18</v>
      </c>
      <c r="C136" s="6" t="str">
        <f>"宏观经济学"</f>
        <v>宏观经济学</v>
      </c>
      <c r="D136" s="6" t="str">
        <f t="shared" si="3"/>
        <v>大学科基础课</v>
      </c>
      <c r="E136" s="6" t="str">
        <f>"杨海涛"</f>
        <v>杨海涛</v>
      </c>
      <c r="F136" s="6" t="str">
        <f>"邓博文"</f>
        <v>邓博文</v>
      </c>
      <c r="G136" s="6" t="str">
        <f>"1230202Z2007"</f>
        <v>1230202Z2007</v>
      </c>
      <c r="H136" s="7"/>
      <c r="I136" s="7"/>
    </row>
    <row r="137" ht="37.5" spans="1:9">
      <c r="A137" s="6">
        <v>135</v>
      </c>
      <c r="B137" s="6" t="s">
        <v>18</v>
      </c>
      <c r="C137" s="6" t="str">
        <f>"政治经济学"</f>
        <v>政治经济学</v>
      </c>
      <c r="D137" s="6" t="str">
        <f t="shared" si="3"/>
        <v>大学科基础课</v>
      </c>
      <c r="E137" s="6" t="str">
        <f>"姚常成"</f>
        <v>姚常成</v>
      </c>
      <c r="F137" s="6" t="str">
        <f>"张婧歆"</f>
        <v>张婧歆</v>
      </c>
      <c r="G137" s="6" t="str">
        <f>"222020101021"</f>
        <v>222020101021</v>
      </c>
      <c r="H137" s="7"/>
      <c r="I137" s="7"/>
    </row>
    <row r="138" ht="37.5" spans="1:9">
      <c r="A138" s="6">
        <v>136</v>
      </c>
      <c r="B138" s="6" t="s">
        <v>18</v>
      </c>
      <c r="C138" s="6" t="str">
        <f>"政治经济学"</f>
        <v>政治经济学</v>
      </c>
      <c r="D138" s="6" t="str">
        <f t="shared" si="3"/>
        <v>大学科基础课</v>
      </c>
      <c r="E138" s="6" t="str">
        <f>"姚常成"</f>
        <v>姚常成</v>
      </c>
      <c r="F138" s="6" t="str">
        <f>"彭骞颖"</f>
        <v>彭骞颖</v>
      </c>
      <c r="G138" s="6" t="str">
        <f>"222020101025"</f>
        <v>222020101025</v>
      </c>
      <c r="H138" s="7"/>
      <c r="I138" s="7"/>
    </row>
    <row r="139" ht="37.5" spans="1:9">
      <c r="A139" s="6">
        <v>137</v>
      </c>
      <c r="B139" s="6" t="s">
        <v>18</v>
      </c>
      <c r="C139" s="6" t="str">
        <f>"宏观经济学"</f>
        <v>宏观经济学</v>
      </c>
      <c r="D139" s="6" t="str">
        <f t="shared" si="3"/>
        <v>大学科基础课</v>
      </c>
      <c r="E139" s="6" t="str">
        <f>"黄俊兵"</f>
        <v>黄俊兵</v>
      </c>
      <c r="F139" s="6" t="str">
        <f>"何宛睿"</f>
        <v>何宛睿</v>
      </c>
      <c r="G139" s="6" t="str">
        <f>"1220201Z2002"</f>
        <v>1220201Z2002</v>
      </c>
      <c r="H139" s="7"/>
      <c r="I139" s="7"/>
    </row>
    <row r="140" ht="37.5" spans="1:9">
      <c r="A140" s="6">
        <v>138</v>
      </c>
      <c r="B140" s="6" t="s">
        <v>18</v>
      </c>
      <c r="C140" s="6" t="str">
        <f>"微观经济学"</f>
        <v>微观经济学</v>
      </c>
      <c r="D140" s="6" t="str">
        <f t="shared" si="3"/>
        <v>大学科基础课</v>
      </c>
      <c r="E140" s="6" t="str">
        <f>"徐扬帆"</f>
        <v>徐扬帆</v>
      </c>
      <c r="F140" s="6" t="str">
        <f>"李溪铭"</f>
        <v>李溪铭</v>
      </c>
      <c r="G140" s="6" t="str">
        <f>"121020202001"</f>
        <v>121020202001</v>
      </c>
      <c r="H140" s="7"/>
      <c r="I140" s="7"/>
    </row>
    <row r="141" ht="37.5" spans="1:9">
      <c r="A141" s="6">
        <v>139</v>
      </c>
      <c r="B141" s="6" t="s">
        <v>18</v>
      </c>
      <c r="C141" s="6" t="str">
        <f>"中级微观经济学"</f>
        <v>中级微观经济学</v>
      </c>
      <c r="D141" s="6" t="str">
        <f>"专业方向课"</f>
        <v>专业方向课</v>
      </c>
      <c r="E141" s="6" t="str">
        <f>"张安全"</f>
        <v>张安全</v>
      </c>
      <c r="F141" s="6" t="str">
        <f>"邹来亮"</f>
        <v>邹来亮</v>
      </c>
      <c r="G141" s="6" t="str">
        <f>"223020201001"</f>
        <v>223020201001</v>
      </c>
      <c r="H141" s="7"/>
      <c r="I141" s="7"/>
    </row>
    <row r="142" ht="37.5" spans="1:9">
      <c r="A142" s="6">
        <v>140</v>
      </c>
      <c r="B142" s="6" t="s">
        <v>18</v>
      </c>
      <c r="C142" s="6" t="str">
        <f>"微观经济学"</f>
        <v>微观经济学</v>
      </c>
      <c r="D142" s="6" t="str">
        <f>"通识基础课"</f>
        <v>通识基础课</v>
      </c>
      <c r="E142" s="6" t="str">
        <f>"刘柯含"</f>
        <v>刘柯含</v>
      </c>
      <c r="F142" s="6" t="str">
        <f>"段小玉"</f>
        <v>段小玉</v>
      </c>
      <c r="G142" s="6" t="str">
        <f>"123020101006"</f>
        <v>123020101006</v>
      </c>
      <c r="H142" s="7"/>
      <c r="I142" s="7"/>
    </row>
    <row r="143" ht="37.5" spans="1:9">
      <c r="A143" s="6">
        <v>141</v>
      </c>
      <c r="B143" s="6" t="s">
        <v>18</v>
      </c>
      <c r="C143" s="6" t="str">
        <f>"宏观经济学"</f>
        <v>宏观经济学</v>
      </c>
      <c r="D143" s="6" t="str">
        <f>"大学科基础课"</f>
        <v>大学科基础课</v>
      </c>
      <c r="E143" s="6" t="str">
        <f>"文华成"</f>
        <v>文华成</v>
      </c>
      <c r="F143" s="6" t="str">
        <f>"塔依尔·吐地"</f>
        <v>塔依尔·吐地</v>
      </c>
      <c r="G143" s="6" t="str">
        <f>"121020204051"</f>
        <v>121020204051</v>
      </c>
      <c r="H143" s="7"/>
      <c r="I143" s="7"/>
    </row>
    <row r="144" ht="37.5" spans="1:9">
      <c r="A144" s="6">
        <v>142</v>
      </c>
      <c r="B144" s="6" t="s">
        <v>18</v>
      </c>
      <c r="C144" s="6" t="str">
        <f>"宏观经济学"</f>
        <v>宏观经济学</v>
      </c>
      <c r="D144" s="6" t="str">
        <f>"大学科基础课"</f>
        <v>大学科基础课</v>
      </c>
      <c r="E144" s="6" t="str">
        <f>"文华成"</f>
        <v>文华成</v>
      </c>
      <c r="F144" s="6" t="str">
        <f>"薛媛"</f>
        <v>薛媛</v>
      </c>
      <c r="G144" s="6" t="str">
        <f>"121020104014"</f>
        <v>121020104014</v>
      </c>
      <c r="H144" s="7"/>
      <c r="I144" s="7"/>
    </row>
    <row r="145" ht="37.5" spans="1:9">
      <c r="A145" s="6">
        <v>143</v>
      </c>
      <c r="B145" s="6" t="s">
        <v>18</v>
      </c>
      <c r="C145" s="6" t="str">
        <f>"中级微观经济学"</f>
        <v>中级微观经济学</v>
      </c>
      <c r="D145" s="6" t="str">
        <f>"专业方向课"</f>
        <v>专业方向课</v>
      </c>
      <c r="E145" s="6" t="str">
        <f>"张安全"</f>
        <v>张安全</v>
      </c>
      <c r="F145" s="6" t="str">
        <f>"段晓莹"</f>
        <v>段晓莹</v>
      </c>
      <c r="G145" s="6" t="str">
        <f>"123020101004"</f>
        <v>123020101004</v>
      </c>
      <c r="H145" s="7"/>
      <c r="I145" s="7"/>
    </row>
    <row r="146" ht="37.5" spans="1:9">
      <c r="A146" s="6">
        <v>144</v>
      </c>
      <c r="B146" s="6" t="s">
        <v>18</v>
      </c>
      <c r="C146" s="6" t="str">
        <f>"宏观经济学"</f>
        <v>宏观经济学</v>
      </c>
      <c r="D146" s="6" t="str">
        <f t="shared" ref="D146:D158" si="4">"大学科基础课"</f>
        <v>大学科基础课</v>
      </c>
      <c r="E146" s="6" t="str">
        <f>"郭军杰"</f>
        <v>郭军杰</v>
      </c>
      <c r="F146" s="6" t="str">
        <f>"王誉民"</f>
        <v>王誉民</v>
      </c>
      <c r="G146" s="6" t="str">
        <f>"122020105002"</f>
        <v>122020105002</v>
      </c>
      <c r="H146" s="7"/>
      <c r="I146" s="7"/>
    </row>
    <row r="147" ht="37.5" spans="1:9">
      <c r="A147" s="6">
        <v>145</v>
      </c>
      <c r="B147" s="6" t="s">
        <v>18</v>
      </c>
      <c r="C147" s="6" t="str">
        <f>"政治经济学"</f>
        <v>政治经济学</v>
      </c>
      <c r="D147" s="6" t="str">
        <f t="shared" si="4"/>
        <v>大学科基础课</v>
      </c>
      <c r="E147" s="6" t="str">
        <f>"田世野"</f>
        <v>田世野</v>
      </c>
      <c r="F147" s="6" t="str">
        <f>"喻文"</f>
        <v>喻文</v>
      </c>
      <c r="G147" s="6" t="str">
        <f>"222020101024"</f>
        <v>222020101024</v>
      </c>
      <c r="H147" s="7"/>
      <c r="I147" s="7"/>
    </row>
    <row r="148" ht="37.5" spans="1:9">
      <c r="A148" s="6">
        <v>146</v>
      </c>
      <c r="B148" s="6" t="s">
        <v>18</v>
      </c>
      <c r="C148" s="6" t="str">
        <f>"宏观经济学（双语）"</f>
        <v>宏观经济学（双语）</v>
      </c>
      <c r="D148" s="6" t="str">
        <f t="shared" si="4"/>
        <v>大学科基础课</v>
      </c>
      <c r="E148" s="6" t="str">
        <f>"李啸谷"</f>
        <v>李啸谷</v>
      </c>
      <c r="F148" s="6" t="str">
        <f>"陈慧婷"</f>
        <v>陈慧婷</v>
      </c>
      <c r="G148" s="6" t="str">
        <f>"122020106003"</f>
        <v>122020106003</v>
      </c>
      <c r="H148" s="7"/>
      <c r="I148" s="7"/>
    </row>
    <row r="149" ht="37.5" spans="1:9">
      <c r="A149" s="6">
        <v>147</v>
      </c>
      <c r="B149" s="6" t="s">
        <v>18</v>
      </c>
      <c r="C149" s="6" t="str">
        <f>"宏观经济学"</f>
        <v>宏观经济学</v>
      </c>
      <c r="D149" s="6" t="str">
        <f t="shared" si="4"/>
        <v>大学科基础课</v>
      </c>
      <c r="E149" s="6" t="str">
        <f>"梁鑫"</f>
        <v>梁鑫</v>
      </c>
      <c r="F149" s="6" t="str">
        <f>"徐甜"</f>
        <v>徐甜</v>
      </c>
      <c r="G149" s="6" t="str">
        <f>"222020101015"</f>
        <v>222020101015</v>
      </c>
      <c r="H149" s="7"/>
      <c r="I149" s="7"/>
    </row>
    <row r="150" ht="37.5" spans="1:9">
      <c r="A150" s="6">
        <v>148</v>
      </c>
      <c r="B150" s="6" t="s">
        <v>18</v>
      </c>
      <c r="C150" s="6" t="str">
        <f>"宏观经济学"</f>
        <v>宏观经济学</v>
      </c>
      <c r="D150" s="6" t="str">
        <f t="shared" si="4"/>
        <v>大学科基础课</v>
      </c>
      <c r="E150" s="6" t="str">
        <f>"邹红"</f>
        <v>邹红</v>
      </c>
      <c r="F150" s="6" t="str">
        <f>"马君君"</f>
        <v>马君君</v>
      </c>
      <c r="G150" s="6" t="str">
        <f>"222020104019"</f>
        <v>222020104019</v>
      </c>
      <c r="H150" s="7"/>
      <c r="I150" s="7"/>
    </row>
    <row r="151" ht="37.5" spans="1:9">
      <c r="A151" s="6">
        <v>149</v>
      </c>
      <c r="B151" s="6" t="s">
        <v>18</v>
      </c>
      <c r="C151" s="6" t="str">
        <f>"宏观经济学（双语）"</f>
        <v>宏观经济学（双语）</v>
      </c>
      <c r="D151" s="6" t="str">
        <f t="shared" si="4"/>
        <v>大学科基础课</v>
      </c>
      <c r="E151" s="6" t="str">
        <f>"李啸谷"</f>
        <v>李啸谷</v>
      </c>
      <c r="F151" s="6" t="str">
        <f>"杨婷婷"</f>
        <v>杨婷婷</v>
      </c>
      <c r="G151" s="6" t="str">
        <f>"122020106001"</f>
        <v>122020106001</v>
      </c>
      <c r="H151" s="7"/>
      <c r="I151" s="7"/>
    </row>
    <row r="152" ht="37.5" spans="1:9">
      <c r="A152" s="6">
        <v>150</v>
      </c>
      <c r="B152" s="6" t="s">
        <v>18</v>
      </c>
      <c r="C152" s="6" t="str">
        <f>"政治经济学"</f>
        <v>政治经济学</v>
      </c>
      <c r="D152" s="6" t="str">
        <f t="shared" si="4"/>
        <v>大学科基础课</v>
      </c>
      <c r="E152" s="6" t="str">
        <f>"葛浩阳"</f>
        <v>葛浩阳</v>
      </c>
      <c r="F152" s="6" t="str">
        <f>"代芙蓉"</f>
        <v>代芙蓉</v>
      </c>
      <c r="G152" s="6" t="str">
        <f>"222020101003"</f>
        <v>222020101003</v>
      </c>
      <c r="H152" s="7"/>
      <c r="I152" s="7"/>
    </row>
    <row r="153" ht="37.5" spans="1:9">
      <c r="A153" s="6">
        <v>151</v>
      </c>
      <c r="B153" s="6" t="s">
        <v>18</v>
      </c>
      <c r="C153" s="6" t="str">
        <f>"微观经济学"</f>
        <v>微观经济学</v>
      </c>
      <c r="D153" s="6" t="str">
        <f t="shared" si="4"/>
        <v>大学科基础课</v>
      </c>
      <c r="E153" s="6" t="str">
        <f>"张凯霞"</f>
        <v>张凯霞</v>
      </c>
      <c r="F153" s="6" t="str">
        <f>"施颖怡"</f>
        <v>施颖怡</v>
      </c>
      <c r="G153" s="6" t="str">
        <f>"2220201Z2003"</f>
        <v>2220201Z2003</v>
      </c>
      <c r="H153" s="7"/>
      <c r="I153" s="7"/>
    </row>
    <row r="154" ht="37.5" spans="1:9">
      <c r="A154" s="6">
        <v>152</v>
      </c>
      <c r="B154" s="6" t="s">
        <v>18</v>
      </c>
      <c r="C154" s="6" t="str">
        <f>"政治经济学"</f>
        <v>政治经济学</v>
      </c>
      <c r="D154" s="6" t="str">
        <f t="shared" si="4"/>
        <v>大学科基础课</v>
      </c>
      <c r="E154" s="6" t="str">
        <f>"陈姝兴"</f>
        <v>陈姝兴</v>
      </c>
      <c r="F154" s="6" t="str">
        <f>"林敏"</f>
        <v>林敏</v>
      </c>
      <c r="G154" s="6" t="str">
        <f>"122020202002"</f>
        <v>122020202002</v>
      </c>
      <c r="H154" s="7"/>
      <c r="I154" s="7"/>
    </row>
    <row r="155" ht="56.25" spans="1:9">
      <c r="A155" s="6">
        <v>153</v>
      </c>
      <c r="B155" s="9" t="s">
        <v>19</v>
      </c>
      <c r="C155" s="6" t="str">
        <f>"微观经济学"</f>
        <v>微观经济学</v>
      </c>
      <c r="D155" s="6" t="str">
        <f t="shared" si="4"/>
        <v>大学科基础课</v>
      </c>
      <c r="E155" s="6" t="str">
        <f>"袁正"</f>
        <v>袁正</v>
      </c>
      <c r="F155" s="6" t="str">
        <f>"范训豪"</f>
        <v>范训豪</v>
      </c>
      <c r="G155" s="6" t="str">
        <f>"2230202Z1008"</f>
        <v>2230202Z1008</v>
      </c>
      <c r="H155" s="7"/>
      <c r="I155" s="7"/>
    </row>
    <row r="156" ht="37.5" spans="1:9">
      <c r="A156" s="6">
        <v>154</v>
      </c>
      <c r="B156" s="6" t="s">
        <v>18</v>
      </c>
      <c r="C156" s="6" t="str">
        <f>"宏观经济学"</f>
        <v>宏观经济学</v>
      </c>
      <c r="D156" s="6" t="str">
        <f t="shared" si="4"/>
        <v>大学科基础课</v>
      </c>
      <c r="E156" s="6" t="str">
        <f>"张博"</f>
        <v>张博</v>
      </c>
      <c r="F156" s="6" t="str">
        <f>"潘若曦"</f>
        <v>潘若曦</v>
      </c>
      <c r="G156" s="6" t="str">
        <f>"223020205006"</f>
        <v>223020205006</v>
      </c>
      <c r="H156" s="7"/>
      <c r="I156" s="7"/>
    </row>
    <row r="157" ht="37.5" spans="1:9">
      <c r="A157" s="6">
        <v>155</v>
      </c>
      <c r="B157" s="6" t="s">
        <v>18</v>
      </c>
      <c r="C157" s="6" t="str">
        <f>"政治经济学"</f>
        <v>政治经济学</v>
      </c>
      <c r="D157" s="6" t="str">
        <f t="shared" si="4"/>
        <v>大学科基础课</v>
      </c>
      <c r="E157" s="6" t="str">
        <f>"李怡乐"</f>
        <v>李怡乐</v>
      </c>
      <c r="F157" s="6" t="str">
        <f>"黄巳洪"</f>
        <v>黄巳洪</v>
      </c>
      <c r="G157" s="6" t="str">
        <f>"222020101013"</f>
        <v>222020101013</v>
      </c>
      <c r="H157" s="7"/>
      <c r="I157" s="7"/>
    </row>
    <row r="158" ht="37.5" spans="1:9">
      <c r="A158" s="6">
        <v>156</v>
      </c>
      <c r="B158" s="6" t="s">
        <v>18</v>
      </c>
      <c r="C158" s="6" t="str">
        <f>"政治经济学"</f>
        <v>政治经济学</v>
      </c>
      <c r="D158" s="6" t="str">
        <f t="shared" si="4"/>
        <v>大学科基础课</v>
      </c>
      <c r="E158" s="6" t="str">
        <f>"陈航"</f>
        <v>陈航</v>
      </c>
      <c r="F158" s="6" t="str">
        <f>"晏宇翔"</f>
        <v>晏宇翔</v>
      </c>
      <c r="G158" s="6" t="str">
        <f>"221020101028"</f>
        <v>221020101028</v>
      </c>
      <c r="H158" s="7"/>
      <c r="I158" s="7"/>
    </row>
    <row r="159" ht="37.5" spans="1:9">
      <c r="A159" s="6">
        <v>157</v>
      </c>
      <c r="B159" s="6" t="s">
        <v>18</v>
      </c>
      <c r="C159" s="6" t="str">
        <f>"中级宏观经济学MOOC"</f>
        <v>中级宏观经济学MOOC</v>
      </c>
      <c r="D159" s="6" t="str">
        <f>"慕课"</f>
        <v>慕课</v>
      </c>
      <c r="E159" s="6" t="str">
        <f>"陈师"</f>
        <v>陈师</v>
      </c>
      <c r="F159" s="6" t="str">
        <f>"关文晋"</f>
        <v>关文晋</v>
      </c>
      <c r="G159" s="6" t="str">
        <f>"122020101005"</f>
        <v>122020101005</v>
      </c>
      <c r="H159" s="7"/>
      <c r="I159" s="7"/>
    </row>
    <row r="160" ht="37.5" spans="1:9">
      <c r="A160" s="6">
        <v>158</v>
      </c>
      <c r="B160" s="6" t="s">
        <v>18</v>
      </c>
      <c r="C160" s="6" t="str">
        <f>"政治经济学"</f>
        <v>政治经济学</v>
      </c>
      <c r="D160" s="6" t="str">
        <f>"大学科基础课"</f>
        <v>大学科基础课</v>
      </c>
      <c r="E160" s="6" t="str">
        <f>"张航"</f>
        <v>张航</v>
      </c>
      <c r="F160" s="6" t="str">
        <f>"孔洋"</f>
        <v>孔洋</v>
      </c>
      <c r="G160" s="6" t="str">
        <f>"222020101014"</f>
        <v>222020101014</v>
      </c>
      <c r="H160" s="7"/>
      <c r="I160" s="7"/>
    </row>
    <row r="161" ht="37.5" spans="1:9">
      <c r="A161" s="6">
        <v>159</v>
      </c>
      <c r="B161" s="6" t="s">
        <v>18</v>
      </c>
      <c r="C161" s="6" t="str">
        <f>"中级宏观经济学"</f>
        <v>中级宏观经济学</v>
      </c>
      <c r="D161" s="6" t="str">
        <f>"专业方向课"</f>
        <v>专业方向课</v>
      </c>
      <c r="E161" s="6" t="str">
        <f>"曾志远"</f>
        <v>曾志远</v>
      </c>
      <c r="F161" s="6" t="str">
        <f>"徐容菲"</f>
        <v>徐容菲</v>
      </c>
      <c r="G161" s="6" t="str">
        <f>"222020104028"</f>
        <v>222020104028</v>
      </c>
      <c r="H161" s="7"/>
      <c r="I161" s="7"/>
    </row>
    <row r="162" ht="37.5" spans="1:9">
      <c r="A162" s="6">
        <v>160</v>
      </c>
      <c r="B162" s="6" t="s">
        <v>18</v>
      </c>
      <c r="C162" s="6" t="str">
        <f>"中级宏观经济学"</f>
        <v>中级宏观经济学</v>
      </c>
      <c r="D162" s="6" t="str">
        <f>"专业方向课"</f>
        <v>专业方向课</v>
      </c>
      <c r="E162" s="6" t="str">
        <f>"陈师"</f>
        <v>陈师</v>
      </c>
      <c r="F162" s="6" t="str">
        <f>"赵永洪"</f>
        <v>赵永洪</v>
      </c>
      <c r="G162" s="6" t="str">
        <f>"121020101001"</f>
        <v>121020101001</v>
      </c>
      <c r="H162" s="7"/>
      <c r="I162" s="7"/>
    </row>
    <row r="163" ht="37.5" spans="1:9">
      <c r="A163" s="6">
        <v>161</v>
      </c>
      <c r="B163" s="6" t="s">
        <v>18</v>
      </c>
      <c r="C163" s="6" t="str">
        <f>"微观经济学"</f>
        <v>微观经济学</v>
      </c>
      <c r="D163" s="6" t="str">
        <f>"大学科基础课"</f>
        <v>大学科基础课</v>
      </c>
      <c r="E163" s="6" t="str">
        <f>"黄大康"</f>
        <v>黄大康</v>
      </c>
      <c r="F163" s="6" t="str">
        <f>"刘桂铃"</f>
        <v>刘桂铃</v>
      </c>
      <c r="G163" s="6" t="str">
        <f>"2230202J6001"</f>
        <v>2230202J6001</v>
      </c>
      <c r="H163" s="7"/>
      <c r="I163" s="7"/>
    </row>
    <row r="164" ht="37.5" spans="1:9">
      <c r="A164" s="6">
        <v>162</v>
      </c>
      <c r="B164" s="6" t="s">
        <v>18</v>
      </c>
      <c r="C164" s="6" t="str">
        <f>"政治经济学"</f>
        <v>政治经济学</v>
      </c>
      <c r="D164" s="6" t="str">
        <f>"大学科基础课"</f>
        <v>大学科基础课</v>
      </c>
      <c r="E164" s="6" t="str">
        <f>"王卫卿"</f>
        <v>王卫卿</v>
      </c>
      <c r="F164" s="6" t="str">
        <f>"姚厚壮"</f>
        <v>姚厚壮</v>
      </c>
      <c r="G164" s="6" t="str">
        <f>"221020101001"</f>
        <v>221020101001</v>
      </c>
      <c r="H164" s="7"/>
      <c r="I164" s="7"/>
    </row>
    <row r="165" ht="37.5" spans="1:9">
      <c r="A165" s="6">
        <v>163</v>
      </c>
      <c r="B165" s="6" t="s">
        <v>18</v>
      </c>
      <c r="C165" s="6" t="str">
        <f>"宏观经济学"</f>
        <v>宏观经济学</v>
      </c>
      <c r="D165" s="6" t="str">
        <f>"大学科基础课"</f>
        <v>大学科基础课</v>
      </c>
      <c r="E165" s="6" t="str">
        <f>"王爱伦"</f>
        <v>王爱伦</v>
      </c>
      <c r="F165" s="6" t="str">
        <f>"张瑞生"</f>
        <v>张瑞生</v>
      </c>
      <c r="G165" s="6" t="str">
        <f>"123020101005"</f>
        <v>123020101005</v>
      </c>
      <c r="H165" s="7"/>
      <c r="I165" s="7"/>
    </row>
    <row r="166" ht="37.5" spans="1:9">
      <c r="A166" s="6">
        <v>164</v>
      </c>
      <c r="B166" s="6" t="s">
        <v>18</v>
      </c>
      <c r="C166" s="6" t="str">
        <f>"微观经济学"</f>
        <v>微观经济学</v>
      </c>
      <c r="D166" s="6" t="str">
        <f>"大学科基础课"</f>
        <v>大学科基础课</v>
      </c>
      <c r="E166" s="6" t="str">
        <f>"刘柯含"</f>
        <v>刘柯含</v>
      </c>
      <c r="F166" s="6" t="str">
        <f>"周薇"</f>
        <v>周薇</v>
      </c>
      <c r="G166" s="6" t="str">
        <f>"123020105002"</f>
        <v>123020105002</v>
      </c>
      <c r="H166" s="7"/>
      <c r="I166" s="7"/>
    </row>
    <row r="167" ht="37.5" spans="1:9">
      <c r="A167" s="6">
        <v>165</v>
      </c>
      <c r="B167" s="6" t="s">
        <v>18</v>
      </c>
      <c r="C167" s="6" t="str">
        <f>"宏观经济学"</f>
        <v>宏观经济学</v>
      </c>
      <c r="D167" s="6" t="str">
        <f>"大学科基础课"</f>
        <v>大学科基础课</v>
      </c>
      <c r="E167" s="6" t="str">
        <f>"杨海涛"</f>
        <v>杨海涛</v>
      </c>
      <c r="F167" s="6" t="str">
        <f>"崔晓宇"</f>
        <v>崔晓宇</v>
      </c>
      <c r="G167" s="6" t="str">
        <f>"122020104003"</f>
        <v>122020104003</v>
      </c>
      <c r="H167" s="7"/>
      <c r="I167" s="7"/>
    </row>
    <row r="168" ht="37.5" spans="1:9">
      <c r="A168" s="6">
        <v>166</v>
      </c>
      <c r="B168" s="6" t="s">
        <v>20</v>
      </c>
      <c r="C168" s="6" t="str">
        <f>"计量经济学（英）"</f>
        <v>计量经济学（英）</v>
      </c>
      <c r="D168" s="6" t="str">
        <f>"专业必修课"</f>
        <v>专业必修课</v>
      </c>
      <c r="E168" s="6" t="str">
        <f>"雷蕾"</f>
        <v>雷蕾</v>
      </c>
      <c r="F168" s="6" t="str">
        <f>"陈映彤"</f>
        <v>陈映彤</v>
      </c>
      <c r="G168" s="6" t="str">
        <f>"120020104009"</f>
        <v>120020104009</v>
      </c>
      <c r="H168" s="7"/>
      <c r="I168" s="7"/>
    </row>
    <row r="169" ht="37.5" spans="1:9">
      <c r="A169" s="6">
        <v>167</v>
      </c>
      <c r="B169" s="6" t="s">
        <v>20</v>
      </c>
      <c r="C169" s="6" t="str">
        <f>"国际经济学（英）"</f>
        <v>国际经济学（英）</v>
      </c>
      <c r="D169" s="6" t="str">
        <f>"专业必修课"</f>
        <v>专业必修课</v>
      </c>
      <c r="E169" s="6" t="str">
        <f>"吴季"</f>
        <v>吴季</v>
      </c>
      <c r="F169" s="6" t="str">
        <f>"吴廷炜"</f>
        <v>吴廷炜</v>
      </c>
      <c r="G169" s="6" t="str">
        <f>"122020204061"</f>
        <v>122020204061</v>
      </c>
      <c r="H169" s="7"/>
      <c r="I169" s="7"/>
    </row>
    <row r="170" ht="37.5" spans="1:9">
      <c r="A170" s="6">
        <v>168</v>
      </c>
      <c r="B170" s="6" t="s">
        <v>21</v>
      </c>
      <c r="C170" s="6" t="str">
        <f>"马克思主义基本原理"</f>
        <v>马克思主义基本原理</v>
      </c>
      <c r="D170" s="6" t="str">
        <f>"通识基础课"</f>
        <v>通识基础课</v>
      </c>
      <c r="E170" s="6" t="str">
        <f>"吴姗"</f>
        <v>吴姗</v>
      </c>
      <c r="F170" s="6" t="str">
        <f>"肖倩"</f>
        <v>肖倩</v>
      </c>
      <c r="G170" s="6" t="str">
        <f>"221030501004"</f>
        <v>221030501004</v>
      </c>
      <c r="H170" s="7"/>
      <c r="I170" s="7"/>
    </row>
    <row r="171" ht="37.5" spans="1:9">
      <c r="A171" s="6">
        <v>169</v>
      </c>
      <c r="B171" s="6" t="s">
        <v>21</v>
      </c>
      <c r="C171" s="6" t="str">
        <f>"思想道德与法治"</f>
        <v>思想道德与法治</v>
      </c>
      <c r="D171" s="6" t="str">
        <f>"通识基础课"</f>
        <v>通识基础课</v>
      </c>
      <c r="E171" s="6" t="str">
        <f>"吕君怡"</f>
        <v>吕君怡</v>
      </c>
      <c r="F171" s="6" t="str">
        <f>"杜敏敏"</f>
        <v>杜敏敏</v>
      </c>
      <c r="G171" s="6" t="str">
        <f>"121030505006"</f>
        <v>121030505006</v>
      </c>
      <c r="H171" s="7"/>
      <c r="I171" s="7"/>
    </row>
    <row r="172" ht="37.5" spans="1:9">
      <c r="A172" s="6">
        <v>170</v>
      </c>
      <c r="B172" s="6" t="s">
        <v>21</v>
      </c>
      <c r="C172" s="6" t="str">
        <f>"中国近现代史纲要"</f>
        <v>中国近现代史纲要</v>
      </c>
      <c r="D172" s="6" t="str">
        <f>"通识基础课"</f>
        <v>通识基础课</v>
      </c>
      <c r="E172" s="6" t="str">
        <f>"贾国雄"</f>
        <v>贾国雄</v>
      </c>
      <c r="F172" s="6" t="str">
        <f>"钟东瑜"</f>
        <v>钟东瑜</v>
      </c>
      <c r="G172" s="6" t="str">
        <f>"223030505006"</f>
        <v>223030505006</v>
      </c>
      <c r="H172" s="7"/>
      <c r="I172" s="7"/>
    </row>
    <row r="173" ht="37.5" spans="1:9">
      <c r="A173" s="6">
        <v>171</v>
      </c>
      <c r="B173" s="10" t="s">
        <v>22</v>
      </c>
      <c r="C173" s="10" t="str">
        <f>"高等数学Ⅱ"</f>
        <v>高等数学Ⅱ</v>
      </c>
      <c r="D173" s="10" t="str">
        <f>"通识基础课"</f>
        <v>通识基础课</v>
      </c>
      <c r="E173" s="11" t="str">
        <f>"王锐"</f>
        <v>王锐</v>
      </c>
      <c r="F173" s="10" t="str">
        <f>"唐小雪"</f>
        <v>唐小雪</v>
      </c>
      <c r="G173" s="12" t="str">
        <f>"1210202J5003"</f>
        <v>1210202J5003</v>
      </c>
      <c r="H173" s="7"/>
      <c r="I173" s="7"/>
    </row>
    <row r="174" ht="37.5" spans="1:9">
      <c r="A174" s="6">
        <v>172</v>
      </c>
      <c r="B174" s="6" t="s">
        <v>22</v>
      </c>
      <c r="C174" s="6" t="str">
        <f>"数学建模与数学实验"</f>
        <v>数学建模与数学实验</v>
      </c>
      <c r="D174" s="6" t="str">
        <f>"自由选修课"</f>
        <v>自由选修课</v>
      </c>
      <c r="E174" s="6" t="str">
        <f>"戴岱"</f>
        <v>戴岱</v>
      </c>
      <c r="F174" s="6" t="str">
        <f>"余颖"</f>
        <v>余颖</v>
      </c>
      <c r="G174" s="6" t="str">
        <f>"2230202Z1024"</f>
        <v>2230202Z1024</v>
      </c>
      <c r="H174" s="7"/>
      <c r="I174" s="7"/>
    </row>
    <row r="175" ht="37.5" spans="1:9">
      <c r="A175" s="6">
        <v>173</v>
      </c>
      <c r="B175" s="6" t="s">
        <v>22</v>
      </c>
      <c r="C175" s="6" t="str">
        <f>"概率论（理科）"</f>
        <v>概率论（理科）</v>
      </c>
      <c r="D175" s="6" t="str">
        <f t="shared" ref="D175:D181" si="5">"通识基础课"</f>
        <v>通识基础课</v>
      </c>
      <c r="E175" s="6" t="str">
        <f>"游杰"</f>
        <v>游杰</v>
      </c>
      <c r="F175" s="6" t="str">
        <f>"荆宇"</f>
        <v>荆宇</v>
      </c>
      <c r="G175" s="6" t="str">
        <f>"2230202Z1014"</f>
        <v>2230202Z1014</v>
      </c>
      <c r="H175" s="7"/>
      <c r="I175" s="7"/>
    </row>
    <row r="176" ht="37.5" spans="1:9">
      <c r="A176" s="6">
        <v>174</v>
      </c>
      <c r="B176" s="6" t="s">
        <v>22</v>
      </c>
      <c r="C176" s="6" t="str">
        <f>"高等代数（英文）"</f>
        <v>高等代数（英文）</v>
      </c>
      <c r="D176" s="6" t="str">
        <f t="shared" si="5"/>
        <v>通识基础课</v>
      </c>
      <c r="E176" s="6" t="str">
        <f>"吕品"</f>
        <v>吕品</v>
      </c>
      <c r="F176" s="6" t="str">
        <f>"叶家佑"</f>
        <v>叶家佑</v>
      </c>
      <c r="G176" s="6" t="str">
        <f>"1220202Z1005"</f>
        <v>1220202Z1005</v>
      </c>
      <c r="H176" s="7"/>
      <c r="I176" s="7"/>
    </row>
    <row r="177" ht="37.5" spans="1:9">
      <c r="A177" s="6">
        <v>175</v>
      </c>
      <c r="B177" s="6" t="s">
        <v>22</v>
      </c>
      <c r="C177" s="6" t="str">
        <f>"数学分析Ⅱ（理科）"</f>
        <v>数学分析Ⅱ（理科）</v>
      </c>
      <c r="D177" s="6" t="str">
        <f t="shared" si="5"/>
        <v>通识基础课</v>
      </c>
      <c r="E177" s="6" t="str">
        <f>"黎伟"</f>
        <v>黎伟</v>
      </c>
      <c r="F177" s="6" t="str">
        <f>"韩明远"</f>
        <v>韩明远</v>
      </c>
      <c r="G177" s="6" t="str">
        <f>"120020209001"</f>
        <v>120020209001</v>
      </c>
      <c r="H177" s="7"/>
      <c r="I177" s="7"/>
    </row>
    <row r="178" ht="37.5" spans="1:9">
      <c r="A178" s="6">
        <v>176</v>
      </c>
      <c r="B178" s="6" t="s">
        <v>22</v>
      </c>
      <c r="C178" s="6" t="str">
        <f>"高等数学Ⅱ"</f>
        <v>高等数学Ⅱ</v>
      </c>
      <c r="D178" s="6" t="str">
        <f t="shared" si="5"/>
        <v>通识基础课</v>
      </c>
      <c r="E178" s="6" t="str">
        <f>"代宏霞"</f>
        <v>代宏霞</v>
      </c>
      <c r="F178" s="6" t="str">
        <f>"李露"</f>
        <v>李露</v>
      </c>
      <c r="G178" s="6" t="str">
        <f>"1210202Z1004"</f>
        <v>1210202Z1004</v>
      </c>
      <c r="H178" s="7"/>
      <c r="I178" s="7"/>
    </row>
    <row r="179" ht="37.5" spans="1:9">
      <c r="A179" s="6">
        <v>177</v>
      </c>
      <c r="B179" s="6" t="s">
        <v>22</v>
      </c>
      <c r="C179" s="6" t="str">
        <f>"机器学习数学基础"</f>
        <v>机器学习数学基础</v>
      </c>
      <c r="D179" s="6" t="str">
        <f t="shared" si="5"/>
        <v>通识基础课</v>
      </c>
      <c r="E179" s="6" t="str">
        <f>"林谦"</f>
        <v>林谦</v>
      </c>
      <c r="F179" s="6" t="str">
        <f>"徐敏"</f>
        <v>徐敏</v>
      </c>
      <c r="G179" s="6" t="str">
        <f>"123070100005"</f>
        <v>123070100005</v>
      </c>
      <c r="H179" s="7"/>
      <c r="I179" s="7"/>
    </row>
    <row r="180" ht="37.5" spans="1:9">
      <c r="A180" s="6">
        <v>178</v>
      </c>
      <c r="B180" s="6" t="s">
        <v>22</v>
      </c>
      <c r="C180" s="6" t="str">
        <f>"高等数学Ⅱ"</f>
        <v>高等数学Ⅱ</v>
      </c>
      <c r="D180" s="6" t="str">
        <f t="shared" si="5"/>
        <v>通识基础课</v>
      </c>
      <c r="E180" s="6" t="str">
        <f>"余喜生"</f>
        <v>余喜生</v>
      </c>
      <c r="F180" s="6" t="str">
        <f>"张倩"</f>
        <v>张倩</v>
      </c>
      <c r="G180" s="6" t="str">
        <f>"1200202Z1008"</f>
        <v>1200202Z1008</v>
      </c>
      <c r="H180" s="7"/>
      <c r="I180" s="7"/>
    </row>
    <row r="181" ht="37.5" spans="1:9">
      <c r="A181" s="6">
        <v>179</v>
      </c>
      <c r="B181" s="6" t="s">
        <v>22</v>
      </c>
      <c r="C181" s="6" t="str">
        <f>"高等代数Ⅰ"</f>
        <v>高等代数Ⅰ</v>
      </c>
      <c r="D181" s="6" t="str">
        <f t="shared" si="5"/>
        <v>通识基础课</v>
      </c>
      <c r="E181" s="6" t="str">
        <f>"李静"</f>
        <v>李静</v>
      </c>
      <c r="F181" s="6" t="str">
        <f>"吴健"</f>
        <v>吴健</v>
      </c>
      <c r="G181" s="6" t="str">
        <f>"123070100006"</f>
        <v>123070100006</v>
      </c>
      <c r="H181" s="7"/>
      <c r="I181" s="7"/>
    </row>
    <row r="182" ht="37.5" spans="1:9">
      <c r="A182" s="6">
        <v>180</v>
      </c>
      <c r="B182" s="6" t="s">
        <v>22</v>
      </c>
      <c r="C182" s="6" t="str">
        <f>"数理统计"</f>
        <v>数理统计</v>
      </c>
      <c r="D182" s="6" t="str">
        <f>"大学科基础课"</f>
        <v>大学科基础课</v>
      </c>
      <c r="E182" s="6" t="str">
        <f>"李绍文"</f>
        <v>李绍文</v>
      </c>
      <c r="F182" s="6" t="str">
        <f>"杨桂月"</f>
        <v>杨桂月</v>
      </c>
      <c r="G182" s="6" t="str">
        <f>"222020104008"</f>
        <v>222020104008</v>
      </c>
      <c r="H182" s="7"/>
      <c r="I182" s="7"/>
    </row>
    <row r="183" ht="37.5" spans="1:9">
      <c r="A183" s="6">
        <v>181</v>
      </c>
      <c r="B183" s="6" t="s">
        <v>22</v>
      </c>
      <c r="C183" s="6" t="str">
        <f>"机器学习数学基础"</f>
        <v>机器学习数学基础</v>
      </c>
      <c r="D183" s="6" t="str">
        <f>"通识基础课"</f>
        <v>通识基础课</v>
      </c>
      <c r="E183" s="6" t="str">
        <f>"林谦"</f>
        <v>林谦</v>
      </c>
      <c r="F183" s="6" t="str">
        <f>"王松"</f>
        <v>王松</v>
      </c>
      <c r="G183" s="6" t="str">
        <f>"122020204006"</f>
        <v>122020204006</v>
      </c>
      <c r="H183" s="7"/>
      <c r="I183" s="7"/>
    </row>
    <row r="184" ht="37.5" spans="1:9">
      <c r="A184" s="6">
        <v>182</v>
      </c>
      <c r="B184" s="6" t="s">
        <v>22</v>
      </c>
      <c r="C184" s="6" t="str">
        <f>"概率论（理科）"</f>
        <v>概率论（理科）</v>
      </c>
      <c r="D184" s="6" t="str">
        <f>"通识基础课"</f>
        <v>通识基础课</v>
      </c>
      <c r="E184" s="6" t="str">
        <f>"徐凤"</f>
        <v>徐凤</v>
      </c>
      <c r="F184" s="6" t="str">
        <f>"唐超"</f>
        <v>唐超</v>
      </c>
      <c r="G184" s="6" t="str">
        <f>"1220202Z1006"</f>
        <v>1220202Z1006</v>
      </c>
      <c r="H184" s="7"/>
      <c r="I184" s="7"/>
    </row>
    <row r="185" ht="37.5" spans="1:9">
      <c r="A185" s="6">
        <v>183</v>
      </c>
      <c r="B185" s="6" t="s">
        <v>22</v>
      </c>
      <c r="C185" s="6" t="str">
        <f>"高等代数（英文）"</f>
        <v>高等代数（英文）</v>
      </c>
      <c r="D185" s="6" t="str">
        <f>"通识基础课"</f>
        <v>通识基础课</v>
      </c>
      <c r="E185" s="6" t="str">
        <f>"吕品"</f>
        <v>吕品</v>
      </c>
      <c r="F185" s="6" t="str">
        <f>"姚伟"</f>
        <v>姚伟</v>
      </c>
      <c r="G185" s="6" t="str">
        <f>"223070100006"</f>
        <v>223070100006</v>
      </c>
      <c r="H185" s="7"/>
      <c r="I185" s="7"/>
    </row>
    <row r="186" ht="37.5" spans="1:9">
      <c r="A186" s="6">
        <v>184</v>
      </c>
      <c r="B186" s="6" t="s">
        <v>22</v>
      </c>
      <c r="C186" s="6" t="str">
        <f>"机器学习数学基础"</f>
        <v>机器学习数学基础</v>
      </c>
      <c r="D186" s="6" t="str">
        <f>"专业必修课"</f>
        <v>专业必修课</v>
      </c>
      <c r="E186" s="6" t="str">
        <f>"赵建容"</f>
        <v>赵建容</v>
      </c>
      <c r="F186" s="6" t="str">
        <f>"傅连吉"</f>
        <v>傅连吉</v>
      </c>
      <c r="G186" s="6" t="str">
        <f>"223070100005"</f>
        <v>223070100005</v>
      </c>
      <c r="H186" s="7"/>
      <c r="I186" s="7"/>
    </row>
    <row r="187" ht="37.5" spans="1:9">
      <c r="A187" s="6">
        <v>185</v>
      </c>
      <c r="B187" s="6" t="s">
        <v>22</v>
      </c>
      <c r="C187" s="6" t="str">
        <f>"高等代数Ⅰ"</f>
        <v>高等代数Ⅰ</v>
      </c>
      <c r="D187" s="6" t="str">
        <f>"通识基础课"</f>
        <v>通识基础课</v>
      </c>
      <c r="E187" s="6" t="str">
        <f>"张昕"</f>
        <v>张昕</v>
      </c>
      <c r="F187" s="6" t="str">
        <f>"易理政"</f>
        <v>易理政</v>
      </c>
      <c r="G187" s="6" t="str">
        <f>"222070100009"</f>
        <v>222070100009</v>
      </c>
      <c r="H187" s="7"/>
      <c r="I187" s="7"/>
    </row>
    <row r="188" ht="37.5" spans="1:9">
      <c r="A188" s="6">
        <v>186</v>
      </c>
      <c r="B188" s="6" t="s">
        <v>22</v>
      </c>
      <c r="C188" s="6" t="str">
        <f>"数学分析Ⅱ（理科）"</f>
        <v>数学分析Ⅱ（理科）</v>
      </c>
      <c r="D188" s="6" t="str">
        <f>"通识基础课"</f>
        <v>通识基础课</v>
      </c>
      <c r="E188" s="6" t="str">
        <f>"方敏"</f>
        <v>方敏</v>
      </c>
      <c r="F188" s="6" t="str">
        <f>"袁方成"</f>
        <v>袁方成</v>
      </c>
      <c r="G188" s="6" t="str">
        <f>"2220202Z1006"</f>
        <v>2220202Z1006</v>
      </c>
      <c r="H188" s="7"/>
      <c r="I188" s="7"/>
    </row>
    <row r="189" ht="37.5" spans="1:9">
      <c r="A189" s="6">
        <v>187</v>
      </c>
      <c r="B189" s="6" t="s">
        <v>22</v>
      </c>
      <c r="C189" s="6" t="str">
        <f>"实变函数论"</f>
        <v>实变函数论</v>
      </c>
      <c r="D189" s="6" t="str">
        <f>"大学科基础课"</f>
        <v>大学科基础课</v>
      </c>
      <c r="E189" s="6" t="str">
        <f>"桑元琦"</f>
        <v>桑元琦</v>
      </c>
      <c r="F189" s="6" t="str">
        <f>"王圣"</f>
        <v>王圣</v>
      </c>
      <c r="G189" s="6" t="str">
        <f>"123070100004"</f>
        <v>123070100004</v>
      </c>
      <c r="H189" s="7"/>
      <c r="I189" s="7"/>
    </row>
    <row r="190" ht="37.5" spans="1:9">
      <c r="A190" s="6">
        <v>188</v>
      </c>
      <c r="B190" s="6" t="s">
        <v>22</v>
      </c>
      <c r="C190" s="6" t="str">
        <f>"复变函数"</f>
        <v>复变函数</v>
      </c>
      <c r="D190" s="6" t="str">
        <f>"大学科基础课"</f>
        <v>大学科基础课</v>
      </c>
      <c r="E190" s="6" t="str">
        <f>"林一丁"</f>
        <v>林一丁</v>
      </c>
      <c r="F190" s="6" t="str">
        <f>"吴建强"</f>
        <v>吴建强</v>
      </c>
      <c r="G190" s="6" t="str">
        <f>"123070100001"</f>
        <v>123070100001</v>
      </c>
      <c r="H190" s="7"/>
      <c r="I190" s="7"/>
    </row>
    <row r="191" ht="37.5" spans="1:9">
      <c r="A191" s="6">
        <v>189</v>
      </c>
      <c r="B191" s="6" t="s">
        <v>22</v>
      </c>
      <c r="C191" s="6" t="str">
        <f>"数学分析Ⅱ（理科）"</f>
        <v>数学分析Ⅱ（理科）</v>
      </c>
      <c r="D191" s="6" t="str">
        <f t="shared" ref="D191:D197" si="6">"通识基础课"</f>
        <v>通识基础课</v>
      </c>
      <c r="E191" s="6" t="str">
        <f>"黎伟"</f>
        <v>黎伟</v>
      </c>
      <c r="F191" s="6" t="str">
        <f>"蒋维"</f>
        <v>蒋维</v>
      </c>
      <c r="G191" s="6" t="str">
        <f>"121120201002"</f>
        <v>121120201002</v>
      </c>
      <c r="H191" s="7"/>
      <c r="I191" s="7"/>
    </row>
    <row r="192" ht="37.5" spans="1:9">
      <c r="A192" s="6">
        <v>190</v>
      </c>
      <c r="B192" s="6" t="s">
        <v>22</v>
      </c>
      <c r="C192" s="6" t="str">
        <f>"数学分析Ⅱ（理科）"</f>
        <v>数学分析Ⅱ（理科）</v>
      </c>
      <c r="D192" s="6" t="str">
        <f t="shared" si="6"/>
        <v>通识基础课</v>
      </c>
      <c r="E192" s="6" t="str">
        <f>"黎伟"</f>
        <v>黎伟</v>
      </c>
      <c r="F192" s="6" t="str">
        <f>"杨文斌"</f>
        <v>杨文斌</v>
      </c>
      <c r="G192" s="6" t="str">
        <f>"120120201011"</f>
        <v>120120201011</v>
      </c>
      <c r="H192" s="7"/>
      <c r="I192" s="7"/>
    </row>
    <row r="193" ht="37.5" spans="1:9">
      <c r="A193" s="6">
        <v>191</v>
      </c>
      <c r="B193" s="6" t="s">
        <v>22</v>
      </c>
      <c r="C193" s="6" t="str">
        <f>"数学分析Ⅱ（理科）"</f>
        <v>数学分析Ⅱ（理科）</v>
      </c>
      <c r="D193" s="6" t="str">
        <f t="shared" si="6"/>
        <v>通识基础课</v>
      </c>
      <c r="E193" s="6" t="str">
        <f>"李涛"</f>
        <v>李涛</v>
      </c>
      <c r="F193" s="6" t="str">
        <f>"齐悦"</f>
        <v>齐悦</v>
      </c>
      <c r="G193" s="6" t="str">
        <f>"222070100014"</f>
        <v>222070100014</v>
      </c>
      <c r="H193" s="7"/>
      <c r="I193" s="7"/>
    </row>
    <row r="194" ht="37.5" spans="1:9">
      <c r="A194" s="6">
        <v>192</v>
      </c>
      <c r="B194" s="6" t="s">
        <v>22</v>
      </c>
      <c r="C194" s="6" t="str">
        <f>"高等代数Ⅱ"</f>
        <v>高等代数Ⅱ</v>
      </c>
      <c r="D194" s="6" t="str">
        <f t="shared" si="6"/>
        <v>通识基础课</v>
      </c>
      <c r="E194" s="6" t="str">
        <f>"曾嵘"</f>
        <v>曾嵘</v>
      </c>
      <c r="F194" s="6" t="str">
        <f>"薛倩倩"</f>
        <v>薛倩倩</v>
      </c>
      <c r="G194" s="6" t="str">
        <f>"222070100008"</f>
        <v>222070100008</v>
      </c>
      <c r="H194" s="7"/>
      <c r="I194" s="7"/>
    </row>
    <row r="195" ht="37.5" spans="1:9">
      <c r="A195" s="6">
        <v>193</v>
      </c>
      <c r="B195" s="6" t="s">
        <v>22</v>
      </c>
      <c r="C195" s="6" t="str">
        <f>"高等代数Ⅱ"</f>
        <v>高等代数Ⅱ</v>
      </c>
      <c r="D195" s="6" t="str">
        <f t="shared" si="6"/>
        <v>通识基础课</v>
      </c>
      <c r="E195" s="6" t="str">
        <f>"曾嵘"</f>
        <v>曾嵘</v>
      </c>
      <c r="F195" s="6" t="str">
        <f>"潘行"</f>
        <v>潘行</v>
      </c>
      <c r="G195" s="6" t="str">
        <f>"221070100013"</f>
        <v>221070100013</v>
      </c>
      <c r="H195" s="7"/>
      <c r="I195" s="7"/>
    </row>
    <row r="196" ht="37.5" spans="1:9">
      <c r="A196" s="6">
        <v>194</v>
      </c>
      <c r="B196" s="6" t="s">
        <v>22</v>
      </c>
      <c r="C196" s="6" t="str">
        <f>"高等数学Ⅱ"</f>
        <v>高等数学Ⅱ</v>
      </c>
      <c r="D196" s="6" t="str">
        <f t="shared" si="6"/>
        <v>通识基础课</v>
      </c>
      <c r="E196" s="6" t="str">
        <f>"李凤英"</f>
        <v>李凤英</v>
      </c>
      <c r="F196" s="6" t="str">
        <f>"贾楠"</f>
        <v>贾楠</v>
      </c>
      <c r="G196" s="6" t="str">
        <f>"222070100006"</f>
        <v>222070100006</v>
      </c>
      <c r="H196" s="7"/>
      <c r="I196" s="7"/>
    </row>
    <row r="197" ht="37.5" spans="1:9">
      <c r="A197" s="6">
        <v>195</v>
      </c>
      <c r="B197" s="6" t="s">
        <v>22</v>
      </c>
      <c r="C197" s="6" t="str">
        <f>"高等代数Ⅰ"</f>
        <v>高等代数Ⅰ</v>
      </c>
      <c r="D197" s="6" t="str">
        <f t="shared" si="6"/>
        <v>通识基础课</v>
      </c>
      <c r="E197" s="6" t="str">
        <f>"吴曦"</f>
        <v>吴曦</v>
      </c>
      <c r="F197" s="6" t="str">
        <f>"张雨菲"</f>
        <v>张雨菲</v>
      </c>
      <c r="G197" s="6" t="str">
        <f>"1220202Z2001"</f>
        <v>1220202Z2001</v>
      </c>
      <c r="H197" s="7"/>
      <c r="I197" s="7"/>
    </row>
    <row r="198" ht="37.5" spans="1:9">
      <c r="A198" s="6">
        <v>196</v>
      </c>
      <c r="B198" s="6" t="s">
        <v>22</v>
      </c>
      <c r="C198" s="6" t="str">
        <f>"经济博弈论"</f>
        <v>经济博弈论</v>
      </c>
      <c r="D198" s="6" t="str">
        <f>"专业方向课"</f>
        <v>专业方向课</v>
      </c>
      <c r="E198" s="6" t="str">
        <f>"丁川"</f>
        <v>丁川</v>
      </c>
      <c r="F198" s="6" t="str">
        <f>"徐双雨"</f>
        <v>徐双雨</v>
      </c>
      <c r="G198" s="6" t="str">
        <f>"1211202Z9002"</f>
        <v>1211202Z9002</v>
      </c>
      <c r="H198" s="7"/>
      <c r="I198" s="7"/>
    </row>
    <row r="199" ht="18.75" spans="1:9">
      <c r="A199" s="6">
        <v>197</v>
      </c>
      <c r="B199" s="6" t="s">
        <v>22</v>
      </c>
      <c r="C199" s="6" t="str">
        <f>"线性代数MOOC"</f>
        <v>线性代数MOOC</v>
      </c>
      <c r="D199" s="6" t="str">
        <f>"慕课"</f>
        <v>慕课</v>
      </c>
      <c r="E199" s="6" t="str">
        <f>"韩本三"</f>
        <v>韩本三</v>
      </c>
      <c r="F199" s="6" t="str">
        <f>"刘琼莲"</f>
        <v>刘琼莲</v>
      </c>
      <c r="G199" s="6" t="str">
        <f>"2230202Z1026"</f>
        <v>2230202Z1026</v>
      </c>
      <c r="H199" s="7"/>
      <c r="I199" s="7"/>
    </row>
    <row r="200" ht="37.5" spans="1:9">
      <c r="A200" s="6">
        <v>198</v>
      </c>
      <c r="B200" s="6" t="s">
        <v>22</v>
      </c>
      <c r="C200" s="6" t="str">
        <f>"时间序列分析"</f>
        <v>时间序列分析</v>
      </c>
      <c r="D200" s="6" t="str">
        <f>"专业方向课"</f>
        <v>专业方向课</v>
      </c>
      <c r="E200" s="6" t="str">
        <f>"徐凤"</f>
        <v>徐凤</v>
      </c>
      <c r="F200" s="6" t="str">
        <f>"张燕琴"</f>
        <v>张燕琴</v>
      </c>
      <c r="G200" s="6" t="str">
        <f>"223020209003"</f>
        <v>223020209003</v>
      </c>
      <c r="H200" s="7"/>
      <c r="I200" s="7"/>
    </row>
    <row r="201" ht="37.5" spans="1:9">
      <c r="A201" s="6">
        <v>199</v>
      </c>
      <c r="B201" s="6" t="s">
        <v>22</v>
      </c>
      <c r="C201" s="6" t="str">
        <f>"概率论（理科）"</f>
        <v>概率论（理科）</v>
      </c>
      <c r="D201" s="6" t="str">
        <f t="shared" ref="D201:D206" si="7">"通识基础课"</f>
        <v>通识基础课</v>
      </c>
      <c r="E201" s="6" t="str">
        <f>"陈善镇"</f>
        <v>陈善镇</v>
      </c>
      <c r="F201" s="6" t="str">
        <f>"钟林霏"</f>
        <v>钟林霏</v>
      </c>
      <c r="G201" s="6" t="str">
        <f>"1210202Z1012"</f>
        <v>1210202Z1012</v>
      </c>
      <c r="H201" s="7"/>
      <c r="I201" s="7"/>
    </row>
    <row r="202" ht="37.5" spans="1:9">
      <c r="A202" s="6">
        <v>200</v>
      </c>
      <c r="B202" s="6" t="s">
        <v>22</v>
      </c>
      <c r="C202" s="6" t="str">
        <f>"高等数学Ⅱ"</f>
        <v>高等数学Ⅱ</v>
      </c>
      <c r="D202" s="6" t="str">
        <f t="shared" si="7"/>
        <v>通识基础课</v>
      </c>
      <c r="E202" s="6" t="str">
        <f>"王韦龙"</f>
        <v>王韦龙</v>
      </c>
      <c r="F202" s="6" t="str">
        <f>"李昱洁"</f>
        <v>李昱洁</v>
      </c>
      <c r="G202" s="6" t="str">
        <f>"121120204003"</f>
        <v>121120204003</v>
      </c>
      <c r="H202" s="7"/>
      <c r="I202" s="7"/>
    </row>
    <row r="203" ht="37.5" spans="1:9">
      <c r="A203" s="6">
        <v>201</v>
      </c>
      <c r="B203" s="6" t="s">
        <v>22</v>
      </c>
      <c r="C203" s="6" t="str">
        <f>"高等代数Ⅱ"</f>
        <v>高等代数Ⅱ</v>
      </c>
      <c r="D203" s="6" t="str">
        <f t="shared" si="7"/>
        <v>通识基础课</v>
      </c>
      <c r="E203" s="6" t="str">
        <f>"曾嵘"</f>
        <v>曾嵘</v>
      </c>
      <c r="F203" s="6" t="str">
        <f>"陈泽"</f>
        <v>陈泽</v>
      </c>
      <c r="G203" s="6" t="str">
        <f>"221070100016"</f>
        <v>221070100016</v>
      </c>
      <c r="H203" s="7"/>
      <c r="I203" s="7"/>
    </row>
    <row r="204" ht="37.5" spans="1:9">
      <c r="A204" s="6">
        <v>202</v>
      </c>
      <c r="B204" s="6" t="s">
        <v>22</v>
      </c>
      <c r="C204" s="6" t="str">
        <f>"高等数学Ⅱ"</f>
        <v>高等数学Ⅱ</v>
      </c>
      <c r="D204" s="6" t="str">
        <f t="shared" si="7"/>
        <v>通识基础课</v>
      </c>
      <c r="E204" s="6" t="str">
        <f>"王韦龙"</f>
        <v>王韦龙</v>
      </c>
      <c r="F204" s="6" t="str">
        <f>"张桂芳"</f>
        <v>张桂芳</v>
      </c>
      <c r="G204" s="6" t="str">
        <f>"1221202Z9006"</f>
        <v>1221202Z9006</v>
      </c>
      <c r="H204" s="7"/>
      <c r="I204" s="7"/>
    </row>
    <row r="205" ht="37.5" spans="1:9">
      <c r="A205" s="6">
        <v>203</v>
      </c>
      <c r="B205" s="6" t="s">
        <v>22</v>
      </c>
      <c r="C205" s="6" t="str">
        <f>"机器学习数学基础"</f>
        <v>机器学习数学基础</v>
      </c>
      <c r="D205" s="6" t="str">
        <f t="shared" si="7"/>
        <v>通识基础课</v>
      </c>
      <c r="E205" s="6" t="str">
        <f>"王天明"</f>
        <v>王天明</v>
      </c>
      <c r="F205" s="6" t="str">
        <f>"邓桐"</f>
        <v>邓桐</v>
      </c>
      <c r="G205" s="6" t="str">
        <f>"223070100022"</f>
        <v>223070100022</v>
      </c>
      <c r="H205" s="7"/>
      <c r="I205" s="7"/>
    </row>
    <row r="206" ht="37.5" spans="1:9">
      <c r="A206" s="6">
        <v>204</v>
      </c>
      <c r="B206" s="6" t="s">
        <v>22</v>
      </c>
      <c r="C206" s="6" t="str">
        <f>"高等代数Ⅱ"</f>
        <v>高等代数Ⅱ</v>
      </c>
      <c r="D206" s="6" t="str">
        <f t="shared" si="7"/>
        <v>通识基础课</v>
      </c>
      <c r="E206" s="6" t="str">
        <f>"樊胜"</f>
        <v>樊胜</v>
      </c>
      <c r="F206" s="6" t="str">
        <f>"张俊"</f>
        <v>张俊</v>
      </c>
      <c r="G206" s="6" t="str">
        <f>"2230202Z2002"</f>
        <v>2230202Z2002</v>
      </c>
      <c r="H206" s="7"/>
      <c r="I206" s="7"/>
    </row>
    <row r="207" ht="37.5" spans="1:9">
      <c r="A207" s="6">
        <v>205</v>
      </c>
      <c r="B207" s="6" t="s">
        <v>22</v>
      </c>
      <c r="C207" s="6" t="str">
        <f>"数学建模与数学实验"</f>
        <v>数学建模与数学实验</v>
      </c>
      <c r="D207" s="6" t="str">
        <f>"专业方向课"</f>
        <v>专业方向课</v>
      </c>
      <c r="E207" s="6" t="str">
        <f>"孙云龙"</f>
        <v>孙云龙</v>
      </c>
      <c r="F207" s="6" t="str">
        <f>"陈国歌"</f>
        <v>陈国歌</v>
      </c>
      <c r="G207" s="6" t="str">
        <f>"223070100009"</f>
        <v>223070100009</v>
      </c>
      <c r="H207" s="7"/>
      <c r="I207" s="7"/>
    </row>
    <row r="208" ht="37.5" spans="1:9">
      <c r="A208" s="6">
        <v>206</v>
      </c>
      <c r="B208" s="6" t="s">
        <v>22</v>
      </c>
      <c r="C208" s="6" t="str">
        <f>"数学分析Ⅱ（理科）"</f>
        <v>数学分析Ⅱ（理科）</v>
      </c>
      <c r="D208" s="6" t="str">
        <f t="shared" ref="D208:D216" si="8">"通识基础课"</f>
        <v>通识基础课</v>
      </c>
      <c r="E208" s="6" t="str">
        <f>"陈小平"</f>
        <v>陈小平</v>
      </c>
      <c r="F208" s="6" t="str">
        <f>"张冬雪"</f>
        <v>张冬雪</v>
      </c>
      <c r="G208" s="6" t="str">
        <f>"122071400001"</f>
        <v>122071400001</v>
      </c>
      <c r="H208" s="7"/>
      <c r="I208" s="7"/>
    </row>
    <row r="209" ht="37.5" spans="1:9">
      <c r="A209" s="6">
        <v>207</v>
      </c>
      <c r="B209" s="6" t="s">
        <v>22</v>
      </c>
      <c r="C209" s="6" t="str">
        <f>"高等代数Ⅱ（理科）"</f>
        <v>高等代数Ⅱ（理科）</v>
      </c>
      <c r="D209" s="6" t="str">
        <f t="shared" si="8"/>
        <v>通识基础课</v>
      </c>
      <c r="E209" s="6" t="str">
        <f>"赵建容"</f>
        <v>赵建容</v>
      </c>
      <c r="F209" s="6" t="str">
        <f>"赵若汐"</f>
        <v>赵若汐</v>
      </c>
      <c r="G209" s="6" t="str">
        <f>"223070100029"</f>
        <v>223070100029</v>
      </c>
      <c r="H209" s="7"/>
      <c r="I209" s="7"/>
    </row>
    <row r="210" ht="37.5" spans="1:9">
      <c r="A210" s="6">
        <v>208</v>
      </c>
      <c r="B210" s="6" t="s">
        <v>22</v>
      </c>
      <c r="C210" s="6" t="str">
        <f>"概率论（理科）"</f>
        <v>概率论（理科）</v>
      </c>
      <c r="D210" s="6" t="str">
        <f t="shared" si="8"/>
        <v>通识基础课</v>
      </c>
      <c r="E210" s="6" t="str">
        <f>"岳佳"</f>
        <v>岳佳</v>
      </c>
      <c r="F210" s="6" t="str">
        <f>"张凯宇"</f>
        <v>张凯宇</v>
      </c>
      <c r="G210" s="6" t="str">
        <f>"221070100001"</f>
        <v>221070100001</v>
      </c>
      <c r="H210" s="7"/>
      <c r="I210" s="7"/>
    </row>
    <row r="211" ht="37.5" spans="1:9">
      <c r="A211" s="6">
        <v>209</v>
      </c>
      <c r="B211" s="6" t="s">
        <v>22</v>
      </c>
      <c r="C211" s="6" t="str">
        <f>"高等代数Ⅱ"</f>
        <v>高等代数Ⅱ</v>
      </c>
      <c r="D211" s="6" t="str">
        <f t="shared" si="8"/>
        <v>通识基础课</v>
      </c>
      <c r="E211" s="6" t="str">
        <f>"李坤"</f>
        <v>李坤</v>
      </c>
      <c r="F211" s="6" t="str">
        <f>"朱鑫"</f>
        <v>朱鑫</v>
      </c>
      <c r="G211" s="6" t="str">
        <f>"223070100017"</f>
        <v>223070100017</v>
      </c>
      <c r="H211" s="7"/>
      <c r="I211" s="7"/>
    </row>
    <row r="212" ht="37.5" spans="1:9">
      <c r="A212" s="6">
        <v>210</v>
      </c>
      <c r="B212" s="6" t="s">
        <v>22</v>
      </c>
      <c r="C212" s="6" t="str">
        <f>"高等代数Ⅱ"</f>
        <v>高等代数Ⅱ</v>
      </c>
      <c r="D212" s="6" t="str">
        <f t="shared" si="8"/>
        <v>通识基础课</v>
      </c>
      <c r="E212" s="6" t="str">
        <f>"林可"</f>
        <v>林可</v>
      </c>
      <c r="F212" s="6" t="str">
        <f>"张丹"</f>
        <v>张丹</v>
      </c>
      <c r="G212" s="6" t="str">
        <f>"223070100011"</f>
        <v>223070100011</v>
      </c>
      <c r="H212" s="7"/>
      <c r="I212" s="7"/>
    </row>
    <row r="213" ht="37.5" spans="1:9">
      <c r="A213" s="6">
        <v>211</v>
      </c>
      <c r="B213" s="6" t="s">
        <v>22</v>
      </c>
      <c r="C213" s="6" t="str">
        <f>"高等代数Ⅱ"</f>
        <v>高等代数Ⅱ</v>
      </c>
      <c r="D213" s="6" t="str">
        <f t="shared" si="8"/>
        <v>通识基础课</v>
      </c>
      <c r="E213" s="6" t="str">
        <f>"韩本三"</f>
        <v>韩本三</v>
      </c>
      <c r="F213" s="6" t="str">
        <f>"戴恒"</f>
        <v>戴恒</v>
      </c>
      <c r="G213" s="6" t="str">
        <f>"222070100011"</f>
        <v>222070100011</v>
      </c>
      <c r="H213" s="7"/>
      <c r="I213" s="7"/>
    </row>
    <row r="214" ht="37.5" spans="1:9">
      <c r="A214" s="6">
        <v>212</v>
      </c>
      <c r="B214" s="6" t="s">
        <v>22</v>
      </c>
      <c r="C214" s="6" t="str">
        <f>"数学分析Ⅱ（理科）"</f>
        <v>数学分析Ⅱ（理科）</v>
      </c>
      <c r="D214" s="6" t="str">
        <f t="shared" si="8"/>
        <v>通识基础课</v>
      </c>
      <c r="E214" s="6" t="str">
        <f>"黎伟"</f>
        <v>黎伟</v>
      </c>
      <c r="F214" s="6" t="str">
        <f>"余澜"</f>
        <v>余澜</v>
      </c>
      <c r="G214" s="6" t="str">
        <f>"121020208004"</f>
        <v>121020208004</v>
      </c>
      <c r="H214" s="7"/>
      <c r="I214" s="7"/>
    </row>
    <row r="215" ht="37.5" spans="1:9">
      <c r="A215" s="6">
        <v>213</v>
      </c>
      <c r="B215" s="6" t="s">
        <v>22</v>
      </c>
      <c r="C215" s="6" t="str">
        <f>"概率论（理科）"</f>
        <v>概率论（理科）</v>
      </c>
      <c r="D215" s="6" t="str">
        <f t="shared" si="8"/>
        <v>通识基础课</v>
      </c>
      <c r="E215" s="6" t="str">
        <f>"黄文毅"</f>
        <v>黄文毅</v>
      </c>
      <c r="F215" s="6" t="str">
        <f>"卢欣怡"</f>
        <v>卢欣怡</v>
      </c>
      <c r="G215" s="6" t="str">
        <f>"2210303Z1001"</f>
        <v>2210303Z1001</v>
      </c>
      <c r="H215" s="7"/>
      <c r="I215" s="7"/>
    </row>
    <row r="216" ht="37.5" spans="1:9">
      <c r="A216" s="6">
        <v>214</v>
      </c>
      <c r="B216" s="6" t="s">
        <v>22</v>
      </c>
      <c r="C216" s="6" t="str">
        <f>"高等代数（英文）"</f>
        <v>高等代数（英文）</v>
      </c>
      <c r="D216" s="6" t="str">
        <f t="shared" si="8"/>
        <v>通识基础课</v>
      </c>
      <c r="E216" s="6" t="str">
        <f>"赵铭锋"</f>
        <v>赵铭锋</v>
      </c>
      <c r="F216" s="6" t="str">
        <f>"郑茜"</f>
        <v>郑茜</v>
      </c>
      <c r="G216" s="6" t="str">
        <f>"121120100001"</f>
        <v>121120100001</v>
      </c>
      <c r="H216" s="7"/>
      <c r="I216" s="7"/>
    </row>
    <row r="217" ht="37.5" spans="1:9">
      <c r="A217" s="6">
        <v>215</v>
      </c>
      <c r="B217" s="6" t="s">
        <v>22</v>
      </c>
      <c r="C217" s="6" t="str">
        <f>"偏微分方程"</f>
        <v>偏微分方程</v>
      </c>
      <c r="D217" s="6" t="str">
        <f>"自由选修课"</f>
        <v>自由选修课</v>
      </c>
      <c r="E217" s="6" t="str">
        <f>"赵铭锋"</f>
        <v>赵铭锋</v>
      </c>
      <c r="F217" s="6" t="str">
        <f>"李耀"</f>
        <v>李耀</v>
      </c>
      <c r="G217" s="6" t="str">
        <f>"1220202Z1002"</f>
        <v>1220202Z1002</v>
      </c>
      <c r="H217" s="7"/>
      <c r="I217" s="7"/>
    </row>
    <row r="218" ht="37.5" spans="1:9">
      <c r="A218" s="6">
        <v>216</v>
      </c>
      <c r="B218" s="6" t="s">
        <v>22</v>
      </c>
      <c r="C218" s="6" t="str">
        <f>"随机过程"</f>
        <v>随机过程</v>
      </c>
      <c r="D218" s="6" t="str">
        <f>"大学科基础课"</f>
        <v>大学科基础课</v>
      </c>
      <c r="E218" s="6" t="str">
        <f>"骆川义"</f>
        <v>骆川义</v>
      </c>
      <c r="F218" s="6" t="str">
        <f>"李玉卓"</f>
        <v>李玉卓</v>
      </c>
      <c r="G218" s="6" t="str">
        <f>"1221202Z3003"</f>
        <v>1221202Z3003</v>
      </c>
      <c r="H218" s="7"/>
      <c r="I218" s="7"/>
    </row>
    <row r="219" ht="37.5" spans="1:9">
      <c r="A219" s="6">
        <v>217</v>
      </c>
      <c r="B219" s="6" t="s">
        <v>22</v>
      </c>
      <c r="C219" s="6" t="str">
        <f>"高等代数Ⅰ"</f>
        <v>高等代数Ⅰ</v>
      </c>
      <c r="D219" s="6" t="str">
        <f>"通识基础课"</f>
        <v>通识基础课</v>
      </c>
      <c r="E219" s="6" t="str">
        <f>"杜彬彬"</f>
        <v>杜彬彬</v>
      </c>
      <c r="F219" s="6" t="str">
        <f>"辛琪"</f>
        <v>辛琪</v>
      </c>
      <c r="G219" s="6" t="str">
        <f>"222070100007"</f>
        <v>222070100007</v>
      </c>
      <c r="H219" s="7"/>
      <c r="I219" s="7"/>
    </row>
    <row r="220" ht="37.5" spans="1:9">
      <c r="A220" s="6">
        <v>218</v>
      </c>
      <c r="B220" s="6" t="s">
        <v>22</v>
      </c>
      <c r="C220" s="6" t="str">
        <f>"数学分析II（英文）"</f>
        <v>数学分析II（英文）</v>
      </c>
      <c r="D220" s="6" t="str">
        <f>"通识基础课"</f>
        <v>通识基础课</v>
      </c>
      <c r="E220" s="6" t="str">
        <f>"郭训香"</f>
        <v>郭训香</v>
      </c>
      <c r="F220" s="6" t="str">
        <f>"张鸿宇"</f>
        <v>张鸿宇</v>
      </c>
      <c r="G220" s="6" t="str">
        <f>"123070100008"</f>
        <v>123070100008</v>
      </c>
      <c r="H220" s="7"/>
      <c r="I220" s="7"/>
    </row>
    <row r="221" ht="37.5" spans="1:9">
      <c r="A221" s="6">
        <v>219</v>
      </c>
      <c r="B221" s="6" t="s">
        <v>22</v>
      </c>
      <c r="C221" s="6" t="str">
        <f>"概率论（理科）"</f>
        <v>概率论（理科）</v>
      </c>
      <c r="D221" s="6" t="str">
        <f>"通识基础课"</f>
        <v>通识基础课</v>
      </c>
      <c r="E221" s="6" t="str">
        <f>"吴萌"</f>
        <v>吴萌</v>
      </c>
      <c r="F221" s="6" t="str">
        <f>"成佳佳"</f>
        <v>成佳佳</v>
      </c>
      <c r="G221" s="6" t="str">
        <f>"2230202Z1002"</f>
        <v>2230202Z1002</v>
      </c>
      <c r="H221" s="7"/>
      <c r="I221" s="7"/>
    </row>
    <row r="222" ht="37.5" spans="1:9">
      <c r="A222" s="6">
        <v>220</v>
      </c>
      <c r="B222" s="6" t="s">
        <v>22</v>
      </c>
      <c r="C222" s="6" t="str">
        <f>"数学分析Ⅱ（理科）"</f>
        <v>数学分析Ⅱ（理科）</v>
      </c>
      <c r="D222" s="6" t="str">
        <f>"通识基础课"</f>
        <v>通识基础课</v>
      </c>
      <c r="E222" s="6" t="str">
        <f>"梁之磊"</f>
        <v>梁之磊</v>
      </c>
      <c r="F222" s="6" t="str">
        <f>"范霄"</f>
        <v>范霄</v>
      </c>
      <c r="G222" s="6" t="str">
        <f>"223070100024"</f>
        <v>223070100024</v>
      </c>
      <c r="H222" s="7"/>
      <c r="I222" s="7"/>
    </row>
    <row r="223" ht="37.5" spans="1:9">
      <c r="A223" s="6">
        <v>221</v>
      </c>
      <c r="B223" s="6" t="s">
        <v>22</v>
      </c>
      <c r="C223" s="6" t="str">
        <f>"高等代数Ⅰ"</f>
        <v>高等代数Ⅰ</v>
      </c>
      <c r="D223" s="6" t="str">
        <f>"通识基础课"</f>
        <v>通识基础课</v>
      </c>
      <c r="E223" s="6" t="str">
        <f>"李双龙"</f>
        <v>李双龙</v>
      </c>
      <c r="F223" s="6" t="str">
        <f>"穆淑敏"</f>
        <v>穆淑敏</v>
      </c>
      <c r="G223" s="6" t="str">
        <f>"223070100012"</f>
        <v>223070100012</v>
      </c>
      <c r="H223" s="7"/>
      <c r="I223" s="7"/>
    </row>
    <row r="224" ht="37.5" spans="1:9">
      <c r="A224" s="6">
        <v>222</v>
      </c>
      <c r="B224" s="6" t="s">
        <v>22</v>
      </c>
      <c r="C224" s="6" t="str">
        <f>"数理统计"</f>
        <v>数理统计</v>
      </c>
      <c r="D224" s="6" t="str">
        <f>"大学科基础课"</f>
        <v>大学科基础课</v>
      </c>
      <c r="E224" s="6" t="str">
        <f>"李绍文"</f>
        <v>李绍文</v>
      </c>
      <c r="F224" s="6" t="str">
        <f>"王焕"</f>
        <v>王焕</v>
      </c>
      <c r="G224" s="6" t="str">
        <f>"2230202Z1021"</f>
        <v>2230202Z1021</v>
      </c>
      <c r="H224" s="7"/>
      <c r="I224" s="7"/>
    </row>
    <row r="225" ht="37.5" spans="1:9">
      <c r="A225" s="6">
        <v>223</v>
      </c>
      <c r="B225" s="6" t="s">
        <v>22</v>
      </c>
      <c r="C225" s="6" t="str">
        <f>"数学分析Ⅱ（理科）"</f>
        <v>数学分析Ⅱ（理科）</v>
      </c>
      <c r="D225" s="6" t="str">
        <f>"通识基础课"</f>
        <v>通识基础课</v>
      </c>
      <c r="E225" s="6" t="str">
        <f>"陈小平"</f>
        <v>陈小平</v>
      </c>
      <c r="F225" s="6" t="str">
        <f>"梁拓"</f>
        <v>梁拓</v>
      </c>
      <c r="G225" s="6" t="str">
        <f>"221020204001"</f>
        <v>221020204001</v>
      </c>
      <c r="H225" s="7"/>
      <c r="I225" s="7"/>
    </row>
    <row r="226" ht="37.5" spans="1:9">
      <c r="A226" s="6">
        <v>224</v>
      </c>
      <c r="B226" s="6" t="s">
        <v>22</v>
      </c>
      <c r="C226" s="6" t="str">
        <f>"高等代数Ⅰ"</f>
        <v>高等代数Ⅰ</v>
      </c>
      <c r="D226" s="6" t="str">
        <f>"通识基础课"</f>
        <v>通识基础课</v>
      </c>
      <c r="E226" s="6" t="str">
        <f>"吴曦"</f>
        <v>吴曦</v>
      </c>
      <c r="F226" s="6" t="str">
        <f>"湛松扬"</f>
        <v>湛松扬</v>
      </c>
      <c r="G226" s="6" t="str">
        <f>"222071400013"</f>
        <v>222071400013</v>
      </c>
      <c r="H226" s="7"/>
      <c r="I226" s="7"/>
    </row>
    <row r="227" ht="37.5" spans="1:9">
      <c r="A227" s="6">
        <v>225</v>
      </c>
      <c r="B227" s="6" t="s">
        <v>22</v>
      </c>
      <c r="C227" s="6" t="str">
        <f>"随机过程"</f>
        <v>随机过程</v>
      </c>
      <c r="D227" s="6" t="str">
        <f>"专业方向课"</f>
        <v>专业方向课</v>
      </c>
      <c r="E227" s="6" t="str">
        <f>"骆川义"</f>
        <v>骆川义</v>
      </c>
      <c r="F227" s="6" t="str">
        <f>"胡越"</f>
        <v>胡越</v>
      </c>
      <c r="G227" s="6" t="str">
        <f>"1211201Z5008"</f>
        <v>1211201Z5008</v>
      </c>
      <c r="H227" s="7"/>
      <c r="I227" s="7"/>
    </row>
    <row r="228" ht="37.5" spans="1:9">
      <c r="A228" s="6">
        <v>226</v>
      </c>
      <c r="B228" s="6" t="s">
        <v>22</v>
      </c>
      <c r="C228" s="6" t="str">
        <f>"高等数学Ⅱ"</f>
        <v>高等数学Ⅱ</v>
      </c>
      <c r="D228" s="6" t="str">
        <f>"通识基础课"</f>
        <v>通识基础课</v>
      </c>
      <c r="E228" s="6" t="str">
        <f>"王磊"</f>
        <v>王磊</v>
      </c>
      <c r="F228" s="6" t="str">
        <f>"张焱"</f>
        <v>张焱</v>
      </c>
      <c r="G228" s="6" t="str">
        <f>"221070100015"</f>
        <v>221070100015</v>
      </c>
      <c r="H228" s="7"/>
      <c r="I228" s="7"/>
    </row>
    <row r="229" ht="37.5" spans="1:9">
      <c r="A229" s="6">
        <v>227</v>
      </c>
      <c r="B229" s="6" t="s">
        <v>22</v>
      </c>
      <c r="C229" s="6" t="str">
        <f>"高等数学Ⅱ"</f>
        <v>高等数学Ⅱ</v>
      </c>
      <c r="D229" s="6" t="str">
        <f>"通识基础课"</f>
        <v>通识基础课</v>
      </c>
      <c r="E229" s="6" t="str">
        <f>"梁浩"</f>
        <v>梁浩</v>
      </c>
      <c r="F229" s="6" t="str">
        <f>"鹿正阳"</f>
        <v>鹿正阳</v>
      </c>
      <c r="G229" s="6" t="str">
        <f>"1200202Z1001"</f>
        <v>1200202Z1001</v>
      </c>
      <c r="H229" s="7"/>
      <c r="I229" s="7"/>
    </row>
    <row r="230" ht="37.5" spans="1:9">
      <c r="A230" s="6">
        <v>228</v>
      </c>
      <c r="B230" s="6" t="s">
        <v>22</v>
      </c>
      <c r="C230" s="6" t="str">
        <f>"数学建模与数学实验"</f>
        <v>数学建模与数学实验</v>
      </c>
      <c r="D230" s="6" t="str">
        <f>"实践环节课"</f>
        <v>实践环节课</v>
      </c>
      <c r="E230" s="6" t="str">
        <f>"孙云龙"</f>
        <v>孙云龙</v>
      </c>
      <c r="F230" s="6" t="str">
        <f>"贾鸿雁"</f>
        <v>贾鸿雁</v>
      </c>
      <c r="G230" s="6" t="str">
        <f>"123020206003"</f>
        <v>123020206003</v>
      </c>
      <c r="H230" s="7"/>
      <c r="I230" s="7"/>
    </row>
    <row r="231" ht="37.5" spans="1:9">
      <c r="A231" s="6">
        <v>229</v>
      </c>
      <c r="B231" s="6" t="s">
        <v>22</v>
      </c>
      <c r="C231" s="6" t="str">
        <f>"数学建模与数学实验"</f>
        <v>数学建模与数学实验</v>
      </c>
      <c r="D231" s="6" t="str">
        <f>"专业方向课"</f>
        <v>专业方向课</v>
      </c>
      <c r="E231" s="6" t="str">
        <f>"孙云龙"</f>
        <v>孙云龙</v>
      </c>
      <c r="F231" s="6" t="str">
        <f>"侯丽"</f>
        <v>侯丽</v>
      </c>
      <c r="G231" s="6" t="str">
        <f>"1230202Z1002"</f>
        <v>1230202Z1002</v>
      </c>
      <c r="H231" s="7"/>
      <c r="I231" s="7"/>
    </row>
    <row r="232" ht="37.5" spans="1:9">
      <c r="A232" s="6">
        <v>230</v>
      </c>
      <c r="B232" s="6" t="s">
        <v>22</v>
      </c>
      <c r="C232" s="6" t="str">
        <f>"概率论（理科）"</f>
        <v>概率论（理科）</v>
      </c>
      <c r="D232" s="6" t="str">
        <f t="shared" ref="D232:D237" si="9">"通识基础课"</f>
        <v>通识基础课</v>
      </c>
      <c r="E232" s="6" t="str">
        <f>"游杰"</f>
        <v>游杰</v>
      </c>
      <c r="F232" s="6" t="str">
        <f>"张静"</f>
        <v>张静</v>
      </c>
      <c r="G232" s="6" t="str">
        <f>"1211202Z9004"</f>
        <v>1211202Z9004</v>
      </c>
      <c r="H232" s="7"/>
      <c r="I232" s="7"/>
    </row>
    <row r="233" ht="37.5" spans="1:9">
      <c r="A233" s="6">
        <v>231</v>
      </c>
      <c r="B233" s="6" t="s">
        <v>22</v>
      </c>
      <c r="C233" s="6" t="str">
        <f>"数学分析Ⅱ（理科）"</f>
        <v>数学分析Ⅱ（理科）</v>
      </c>
      <c r="D233" s="6" t="str">
        <f t="shared" si="9"/>
        <v>通识基础课</v>
      </c>
      <c r="E233" s="6" t="str">
        <f>"邓汝良"</f>
        <v>邓汝良</v>
      </c>
      <c r="F233" s="6" t="str">
        <f>"李桂鋆"</f>
        <v>李桂鋆</v>
      </c>
      <c r="G233" s="6" t="str">
        <f>"123020204013"</f>
        <v>123020204013</v>
      </c>
      <c r="H233" s="7"/>
      <c r="I233" s="7"/>
    </row>
    <row r="234" ht="37.5" spans="1:9">
      <c r="A234" s="6">
        <v>232</v>
      </c>
      <c r="B234" s="6" t="s">
        <v>22</v>
      </c>
      <c r="C234" s="6" t="str">
        <f>"高等数学Ⅰ（重修）"</f>
        <v>高等数学Ⅰ（重修）</v>
      </c>
      <c r="D234" s="6" t="str">
        <f t="shared" si="9"/>
        <v>通识基础课</v>
      </c>
      <c r="E234" s="6" t="str">
        <f>"代宏霞"</f>
        <v>代宏霞</v>
      </c>
      <c r="F234" s="6" t="str">
        <f>"邓柏承"</f>
        <v>邓柏承</v>
      </c>
      <c r="G234" s="6" t="str">
        <f>"2210202Z1021"</f>
        <v>2210202Z1021</v>
      </c>
      <c r="H234" s="7"/>
      <c r="I234" s="7"/>
    </row>
    <row r="235" ht="37.5" spans="1:9">
      <c r="A235" s="6">
        <v>233</v>
      </c>
      <c r="B235" s="6" t="s">
        <v>22</v>
      </c>
      <c r="C235" s="6" t="str">
        <f>"高等代数Ⅱ"</f>
        <v>高等代数Ⅱ</v>
      </c>
      <c r="D235" s="6" t="str">
        <f t="shared" si="9"/>
        <v>通识基础课</v>
      </c>
      <c r="E235" s="6" t="str">
        <f>"樊胜"</f>
        <v>樊胜</v>
      </c>
      <c r="F235" s="6" t="str">
        <f>"夏雪"</f>
        <v>夏雪</v>
      </c>
      <c r="G235" s="6" t="str">
        <f>"1210202Z1011"</f>
        <v>1210202Z1011</v>
      </c>
      <c r="H235" s="7"/>
      <c r="I235" s="7"/>
    </row>
    <row r="236" ht="37.5" spans="1:9">
      <c r="A236" s="6">
        <v>234</v>
      </c>
      <c r="B236" s="6" t="s">
        <v>22</v>
      </c>
      <c r="C236" s="6" t="str">
        <f>"高等代数Ⅱ"</f>
        <v>高等代数Ⅱ</v>
      </c>
      <c r="D236" s="6" t="str">
        <f t="shared" si="9"/>
        <v>通识基础课</v>
      </c>
      <c r="E236" s="6" t="str">
        <f>"韩本三"</f>
        <v>韩本三</v>
      </c>
      <c r="F236" s="6" t="str">
        <f>"李怡馨"</f>
        <v>李怡馨</v>
      </c>
      <c r="G236" s="6" t="str">
        <f>"1180202Z1001"</f>
        <v>1180202Z1001</v>
      </c>
      <c r="H236" s="7"/>
      <c r="I236" s="7"/>
    </row>
    <row r="237" ht="37.5" spans="1:9">
      <c r="A237" s="6">
        <v>235</v>
      </c>
      <c r="B237" s="6" t="s">
        <v>22</v>
      </c>
      <c r="C237" s="6" t="str">
        <f>"高等数学Ⅱ"</f>
        <v>高等数学Ⅱ</v>
      </c>
      <c r="D237" s="6" t="str">
        <f t="shared" si="9"/>
        <v>通识基础课</v>
      </c>
      <c r="E237" s="6" t="str">
        <f>"梁浩"</f>
        <v>梁浩</v>
      </c>
      <c r="F237" s="6" t="str">
        <f>"周国勇"</f>
        <v>周国勇</v>
      </c>
      <c r="G237" s="6" t="str">
        <f>"1200202Z1006"</f>
        <v>1200202Z1006</v>
      </c>
      <c r="H237" s="7"/>
      <c r="I237" s="7"/>
    </row>
    <row r="238" ht="37.5" spans="1:9">
      <c r="A238" s="6">
        <v>236</v>
      </c>
      <c r="B238" s="6" t="s">
        <v>22</v>
      </c>
      <c r="C238" s="6" t="str">
        <f>"大数据处理"</f>
        <v>大数据处理</v>
      </c>
      <c r="D238" s="6" t="str">
        <f>"专业必修课"</f>
        <v>专业必修课</v>
      </c>
      <c r="E238" s="6" t="str">
        <f>"王锐"</f>
        <v>王锐</v>
      </c>
      <c r="F238" s="6" t="str">
        <f>"徐鑫"</f>
        <v>徐鑫</v>
      </c>
      <c r="G238" s="6" t="str">
        <f>"1210202Z1009"</f>
        <v>1210202Z1009</v>
      </c>
      <c r="H238" s="7"/>
      <c r="I238" s="7"/>
    </row>
    <row r="239" ht="37.5" spans="1:9">
      <c r="A239" s="6">
        <v>237</v>
      </c>
      <c r="B239" s="6" t="s">
        <v>22</v>
      </c>
      <c r="C239" s="6" t="str">
        <f>"高等代数Ⅱ"</f>
        <v>高等代数Ⅱ</v>
      </c>
      <c r="D239" s="6" t="str">
        <f t="shared" ref="D239:D246" si="10">"通识基础课"</f>
        <v>通识基础课</v>
      </c>
      <c r="E239" s="6" t="str">
        <f>"朱胜坤"</f>
        <v>朱胜坤</v>
      </c>
      <c r="F239" s="6" t="str">
        <f>"于继铎"</f>
        <v>于继铎</v>
      </c>
      <c r="G239" s="6" t="str">
        <f>"221070100019"</f>
        <v>221070100019</v>
      </c>
      <c r="H239" s="7"/>
      <c r="I239" s="7"/>
    </row>
    <row r="240" ht="37.5" spans="1:9">
      <c r="A240" s="6">
        <v>238</v>
      </c>
      <c r="B240" s="6" t="s">
        <v>22</v>
      </c>
      <c r="C240" s="6" t="str">
        <f>"高等代数Ⅰ"</f>
        <v>高等代数Ⅰ</v>
      </c>
      <c r="D240" s="6" t="str">
        <f t="shared" si="10"/>
        <v>通识基础课</v>
      </c>
      <c r="E240" s="6" t="str">
        <f>"杨文昇"</f>
        <v>杨文昇</v>
      </c>
      <c r="F240" s="6" t="str">
        <f>"吴皓斐"</f>
        <v>吴皓斐</v>
      </c>
      <c r="G240" s="6" t="str">
        <f>"1210202Z1002"</f>
        <v>1210202Z1002</v>
      </c>
      <c r="H240" s="7"/>
      <c r="I240" s="7"/>
    </row>
    <row r="241" ht="37.5" spans="1:9">
      <c r="A241" s="6">
        <v>239</v>
      </c>
      <c r="B241" s="6" t="s">
        <v>22</v>
      </c>
      <c r="C241" s="6" t="str">
        <f>"高等数学Ⅱ"</f>
        <v>高等数学Ⅱ</v>
      </c>
      <c r="D241" s="6" t="str">
        <f t="shared" si="10"/>
        <v>通识基础课</v>
      </c>
      <c r="E241" s="6" t="str">
        <f>"戴岱"</f>
        <v>戴岱</v>
      </c>
      <c r="F241" s="6" t="str">
        <f>"梁俊康"</f>
        <v>梁俊康</v>
      </c>
      <c r="G241" s="6" t="str">
        <f>"222071400014"</f>
        <v>222071400014</v>
      </c>
      <c r="H241" s="7"/>
      <c r="I241" s="7"/>
    </row>
    <row r="242" ht="37.5" spans="1:9">
      <c r="A242" s="6">
        <v>240</v>
      </c>
      <c r="B242" s="6" t="s">
        <v>22</v>
      </c>
      <c r="C242" s="6" t="str">
        <f>"高等代数Ⅱ（理科）"</f>
        <v>高等代数Ⅱ（理科）</v>
      </c>
      <c r="D242" s="6" t="str">
        <f t="shared" si="10"/>
        <v>通识基础课</v>
      </c>
      <c r="E242" s="6" t="str">
        <f>"赵建容"</f>
        <v>赵建容</v>
      </c>
      <c r="F242" s="6" t="str">
        <f>"钟敏雯"</f>
        <v>钟敏雯</v>
      </c>
      <c r="G242" s="6" t="str">
        <f>"2220202Z1021"</f>
        <v>2220202Z1021</v>
      </c>
      <c r="H242" s="7"/>
      <c r="I242" s="7"/>
    </row>
    <row r="243" ht="37.5" spans="1:9">
      <c r="A243" s="6">
        <v>241</v>
      </c>
      <c r="B243" s="6" t="s">
        <v>22</v>
      </c>
      <c r="C243" s="6" t="str">
        <f>"数学分析Ⅱ（理科）"</f>
        <v>数学分析Ⅱ（理科）</v>
      </c>
      <c r="D243" s="6" t="str">
        <f t="shared" si="10"/>
        <v>通识基础课</v>
      </c>
      <c r="E243" s="6" t="str">
        <f>"梁之磊"</f>
        <v>梁之磊</v>
      </c>
      <c r="F243" s="6" t="str">
        <f>"古琴"</f>
        <v>古琴</v>
      </c>
      <c r="G243" s="6" t="str">
        <f>"222070100025"</f>
        <v>222070100025</v>
      </c>
      <c r="H243" s="7"/>
      <c r="I243" s="7"/>
    </row>
    <row r="244" ht="37.5" spans="1:9">
      <c r="A244" s="6">
        <v>242</v>
      </c>
      <c r="B244" s="6" t="s">
        <v>22</v>
      </c>
      <c r="C244" s="6" t="str">
        <f>"数学分析II（英文）"</f>
        <v>数学分析II（英文）</v>
      </c>
      <c r="D244" s="6" t="str">
        <f t="shared" si="10"/>
        <v>通识基础课</v>
      </c>
      <c r="E244" s="6" t="str">
        <f>"郭训香"</f>
        <v>郭训香</v>
      </c>
      <c r="F244" s="6" t="str">
        <f>"王阳洋"</f>
        <v>王阳洋</v>
      </c>
      <c r="G244" s="6" t="str">
        <f>"1210202Z1013"</f>
        <v>1210202Z1013</v>
      </c>
      <c r="H244" s="7"/>
      <c r="I244" s="7"/>
    </row>
    <row r="245" ht="37.5" spans="1:9">
      <c r="A245" s="6">
        <v>243</v>
      </c>
      <c r="B245" s="6" t="s">
        <v>22</v>
      </c>
      <c r="C245" s="6" t="str">
        <f>"高等代数Ⅰ"</f>
        <v>高等代数Ⅰ</v>
      </c>
      <c r="D245" s="6" t="str">
        <f t="shared" si="10"/>
        <v>通识基础课</v>
      </c>
      <c r="E245" s="6" t="str">
        <f>"杜彬彬"</f>
        <v>杜彬彬</v>
      </c>
      <c r="F245" s="6" t="str">
        <f>"施博文"</f>
        <v>施博文</v>
      </c>
      <c r="G245" s="6" t="str">
        <f>"222070100005"</f>
        <v>222070100005</v>
      </c>
      <c r="H245" s="7"/>
      <c r="I245" s="7"/>
    </row>
    <row r="246" ht="37.5" spans="1:9">
      <c r="A246" s="6">
        <v>244</v>
      </c>
      <c r="B246" s="6" t="s">
        <v>22</v>
      </c>
      <c r="C246" s="6" t="str">
        <f>"高等代数Ⅱ"</f>
        <v>高等代数Ⅱ</v>
      </c>
      <c r="D246" s="6" t="str">
        <f t="shared" si="10"/>
        <v>通识基础课</v>
      </c>
      <c r="E246" s="6" t="str">
        <f>"韩本三"</f>
        <v>韩本三</v>
      </c>
      <c r="F246" s="6" t="str">
        <f>"范琳琳"</f>
        <v>范琳琳</v>
      </c>
      <c r="G246" s="6" t="str">
        <f>"223070100016"</f>
        <v>223070100016</v>
      </c>
      <c r="H246" s="7"/>
      <c r="I246" s="7"/>
    </row>
    <row r="247" ht="37.5" spans="1:9">
      <c r="A247" s="6">
        <v>245</v>
      </c>
      <c r="B247" s="6" t="s">
        <v>22</v>
      </c>
      <c r="C247" s="6" t="str">
        <f>"数理统计"</f>
        <v>数理统计</v>
      </c>
      <c r="D247" s="6" t="str">
        <f>"大学科基础课"</f>
        <v>大学科基础课</v>
      </c>
      <c r="E247" s="6" t="str">
        <f>"李绍文"</f>
        <v>李绍文</v>
      </c>
      <c r="F247" s="6" t="str">
        <f>"刘瑶"</f>
        <v>刘瑶</v>
      </c>
      <c r="G247" s="6" t="str">
        <f>"2220202Z1018"</f>
        <v>2220202Z1018</v>
      </c>
      <c r="H247" s="7"/>
      <c r="I247" s="7"/>
    </row>
    <row r="248" ht="37.5" spans="1:9">
      <c r="A248" s="6">
        <v>246</v>
      </c>
      <c r="B248" s="6" t="s">
        <v>22</v>
      </c>
      <c r="C248" s="6" t="str">
        <f>"数学分析Ⅱ（理科）"</f>
        <v>数学分析Ⅱ（理科）</v>
      </c>
      <c r="D248" s="6" t="str">
        <f>"通识基础课"</f>
        <v>通识基础课</v>
      </c>
      <c r="E248" s="6" t="str">
        <f>"方敏"</f>
        <v>方敏</v>
      </c>
      <c r="F248" s="6" t="str">
        <f>"谌浩航"</f>
        <v>谌浩航</v>
      </c>
      <c r="G248" s="6" t="str">
        <f>"223070100020"</f>
        <v>223070100020</v>
      </c>
      <c r="H248" s="7"/>
      <c r="I248" s="7"/>
    </row>
    <row r="249" ht="37.5" spans="1:9">
      <c r="A249" s="6">
        <v>247</v>
      </c>
      <c r="B249" s="6" t="s">
        <v>22</v>
      </c>
      <c r="C249" s="6" t="str">
        <f>"高等数学Ⅱ"</f>
        <v>高等数学Ⅱ</v>
      </c>
      <c r="D249" s="6" t="str">
        <f>"通识基础课"</f>
        <v>通识基础课</v>
      </c>
      <c r="E249" s="6" t="str">
        <f>"朱文莉"</f>
        <v>朱文莉</v>
      </c>
      <c r="F249" s="6" t="str">
        <f>"王铭钰"</f>
        <v>王铭钰</v>
      </c>
      <c r="G249" s="6" t="str">
        <f>"223070100026"</f>
        <v>223070100026</v>
      </c>
      <c r="H249" s="7"/>
      <c r="I249" s="7"/>
    </row>
    <row r="250" ht="37.5" spans="1:9">
      <c r="A250" s="6">
        <v>248</v>
      </c>
      <c r="B250" s="6" t="s">
        <v>22</v>
      </c>
      <c r="C250" s="6" t="str">
        <f>"高等数学Ⅱ"</f>
        <v>高等数学Ⅱ</v>
      </c>
      <c r="D250" s="6" t="str">
        <f>"通识基础课"</f>
        <v>通识基础课</v>
      </c>
      <c r="E250" s="6" t="str">
        <f>"朱文莉"</f>
        <v>朱文莉</v>
      </c>
      <c r="F250" s="6" t="str">
        <f>"周蔚廷"</f>
        <v>周蔚廷</v>
      </c>
      <c r="G250" s="6" t="str">
        <f>"223070100028"</f>
        <v>223070100028</v>
      </c>
      <c r="H250" s="7"/>
      <c r="I250" s="7"/>
    </row>
    <row r="251" ht="37.5" spans="1:9">
      <c r="A251" s="6">
        <v>249</v>
      </c>
      <c r="B251" s="6" t="s">
        <v>22</v>
      </c>
      <c r="C251" s="6" t="str">
        <f>"数值分析"</f>
        <v>数值分析</v>
      </c>
      <c r="D251" s="6" t="str">
        <f>"专业必修课"</f>
        <v>专业必修课</v>
      </c>
      <c r="E251" s="6" t="str">
        <f>"陈善镇"</f>
        <v>陈善镇</v>
      </c>
      <c r="F251" s="6" t="str">
        <f>"王率澎"</f>
        <v>王率澎</v>
      </c>
      <c r="G251" s="6" t="str">
        <f>"223070100013"</f>
        <v>223070100013</v>
      </c>
      <c r="H251" s="7"/>
      <c r="I251" s="7"/>
    </row>
    <row r="252" ht="37.5" spans="1:9">
      <c r="A252" s="6">
        <v>250</v>
      </c>
      <c r="B252" s="6" t="s">
        <v>22</v>
      </c>
      <c r="C252" s="6" t="str">
        <f>"高等代数Ⅱ（理科）"</f>
        <v>高等代数Ⅱ（理科）</v>
      </c>
      <c r="D252" s="6" t="str">
        <f>"通识基础课"</f>
        <v>通识基础课</v>
      </c>
      <c r="E252" s="6" t="str">
        <f>"朱胜坤"</f>
        <v>朱胜坤</v>
      </c>
      <c r="F252" s="6" t="str">
        <f>"贾思琪"</f>
        <v>贾思琪</v>
      </c>
      <c r="G252" s="6" t="str">
        <f>"223070100001"</f>
        <v>223070100001</v>
      </c>
      <c r="H252" s="7"/>
      <c r="I252" s="7"/>
    </row>
    <row r="253" ht="37.5" spans="1:9">
      <c r="A253" s="6">
        <v>251</v>
      </c>
      <c r="B253" s="6" t="s">
        <v>22</v>
      </c>
      <c r="C253" s="6" t="str">
        <f>"概率论（理科）"</f>
        <v>概率论（理科）</v>
      </c>
      <c r="D253" s="6" t="str">
        <f>"通识基础课"</f>
        <v>通识基础课</v>
      </c>
      <c r="E253" s="6" t="str">
        <f>"吴萌"</f>
        <v>吴萌</v>
      </c>
      <c r="F253" s="6" t="str">
        <f>"宋兰青"</f>
        <v>宋兰青</v>
      </c>
      <c r="G253" s="6" t="str">
        <f>"2230202Z1018"</f>
        <v>2230202Z1018</v>
      </c>
      <c r="H253" s="7"/>
      <c r="I253" s="7"/>
    </row>
    <row r="254" ht="37.5" spans="1:9">
      <c r="A254" s="6">
        <v>252</v>
      </c>
      <c r="B254" s="6" t="s">
        <v>22</v>
      </c>
      <c r="C254" s="6" t="str">
        <f>"数理统计"</f>
        <v>数理统计</v>
      </c>
      <c r="D254" s="6" t="str">
        <f>"大学科基础课"</f>
        <v>大学科基础课</v>
      </c>
      <c r="E254" s="6" t="str">
        <f>"李绍文"</f>
        <v>李绍文</v>
      </c>
      <c r="F254" s="6" t="str">
        <f>"邓佳杰"</f>
        <v>邓佳杰</v>
      </c>
      <c r="G254" s="6" t="str">
        <f>"2230202Z1023"</f>
        <v>2230202Z1023</v>
      </c>
      <c r="H254" s="7"/>
      <c r="I254" s="7"/>
    </row>
    <row r="255" ht="37.5" spans="1:9">
      <c r="A255" s="6">
        <v>253</v>
      </c>
      <c r="B255" s="6" t="s">
        <v>22</v>
      </c>
      <c r="C255" s="6" t="str">
        <f>"概率论（理科）"</f>
        <v>概率论（理科）</v>
      </c>
      <c r="D255" s="6" t="str">
        <f>"通识基础课"</f>
        <v>通识基础课</v>
      </c>
      <c r="E255" s="6" t="str">
        <f>"黄文毅"</f>
        <v>黄文毅</v>
      </c>
      <c r="F255" s="6" t="str">
        <f>"孙溶镁"</f>
        <v>孙溶镁</v>
      </c>
      <c r="G255" s="6" t="str">
        <f>"1220202Z1009"</f>
        <v>1220202Z1009</v>
      </c>
      <c r="H255" s="7"/>
      <c r="I255" s="7"/>
    </row>
    <row r="256" ht="37.5" spans="1:9">
      <c r="A256" s="6">
        <v>254</v>
      </c>
      <c r="B256" s="6" t="s">
        <v>22</v>
      </c>
      <c r="C256" s="6" t="str">
        <f>"高等数学Ⅱ"</f>
        <v>高等数学Ⅱ</v>
      </c>
      <c r="D256" s="6" t="str">
        <f>"通识基础课"</f>
        <v>通识基础课</v>
      </c>
      <c r="E256" s="6" t="str">
        <f>"王开弘"</f>
        <v>王开弘</v>
      </c>
      <c r="F256" s="6" t="str">
        <f>"王子悦"</f>
        <v>王子悦</v>
      </c>
      <c r="G256" s="6" t="str">
        <f>"1210202Z1007"</f>
        <v>1210202Z1007</v>
      </c>
      <c r="H256" s="7"/>
      <c r="I256" s="7"/>
    </row>
    <row r="257" ht="37.5" spans="1:9">
      <c r="A257" s="6">
        <v>255</v>
      </c>
      <c r="B257" s="6" t="s">
        <v>22</v>
      </c>
      <c r="C257" s="6" t="str">
        <f>"数学分析Ⅱ（理科）"</f>
        <v>数学分析Ⅱ（理科）</v>
      </c>
      <c r="D257" s="6" t="str">
        <f>"通识基础课"</f>
        <v>通识基础课</v>
      </c>
      <c r="E257" s="6" t="str">
        <f>"冯保伟"</f>
        <v>冯保伟</v>
      </c>
      <c r="F257" s="6" t="str">
        <f>"魏志宏"</f>
        <v>魏志宏</v>
      </c>
      <c r="G257" s="6" t="str">
        <f>"122120100002"</f>
        <v>122120100002</v>
      </c>
      <c r="H257" s="7"/>
      <c r="I257" s="7"/>
    </row>
    <row r="258" ht="37.5" spans="1:9">
      <c r="A258" s="6">
        <v>256</v>
      </c>
      <c r="B258" s="6" t="s">
        <v>22</v>
      </c>
      <c r="C258" s="6" t="str">
        <f>"偏微分方程（英文）"</f>
        <v>偏微分方程（英文）</v>
      </c>
      <c r="D258" s="6" t="str">
        <f>"专业方向课"</f>
        <v>专业方向课</v>
      </c>
      <c r="E258" s="6" t="str">
        <f>"梁之磊"</f>
        <v>梁之磊</v>
      </c>
      <c r="F258" s="6" t="str">
        <f>"毕快"</f>
        <v>毕快</v>
      </c>
      <c r="G258" s="6" t="str">
        <f>"123070100007"</f>
        <v>123070100007</v>
      </c>
      <c r="H258" s="7"/>
      <c r="I258" s="7"/>
    </row>
    <row r="259" ht="37.5" spans="1:9">
      <c r="A259" s="6">
        <v>257</v>
      </c>
      <c r="B259" s="6" t="s">
        <v>22</v>
      </c>
      <c r="C259" s="6" t="str">
        <f>"数学分析Ⅱ（理科）"</f>
        <v>数学分析Ⅱ（理科）</v>
      </c>
      <c r="D259" s="6" t="str">
        <f t="shared" ref="D259:D264" si="11">"通识基础课"</f>
        <v>通识基础课</v>
      </c>
      <c r="E259" s="6" t="str">
        <f>"马敬堂"</f>
        <v>马敬堂</v>
      </c>
      <c r="F259" s="6" t="str">
        <f>"崔力元"</f>
        <v>崔力元</v>
      </c>
      <c r="G259" s="6" t="str">
        <f>"222070100016"</f>
        <v>222070100016</v>
      </c>
      <c r="H259" s="7"/>
      <c r="I259" s="7"/>
    </row>
    <row r="260" ht="37.5" spans="1:9">
      <c r="A260" s="6">
        <v>258</v>
      </c>
      <c r="B260" s="6" t="s">
        <v>22</v>
      </c>
      <c r="C260" s="6" t="str">
        <f>"概率论（理科）"</f>
        <v>概率论（理科）</v>
      </c>
      <c r="D260" s="6" t="str">
        <f t="shared" si="11"/>
        <v>通识基础课</v>
      </c>
      <c r="E260" s="6" t="str">
        <f>"杨扬"</f>
        <v>杨扬</v>
      </c>
      <c r="F260" s="6" t="str">
        <f>"张涛"</f>
        <v>张涛</v>
      </c>
      <c r="G260" s="6" t="str">
        <f>"222120100019"</f>
        <v>222120100019</v>
      </c>
      <c r="H260" s="7"/>
      <c r="I260" s="7"/>
    </row>
    <row r="261" ht="37.5" spans="1:9">
      <c r="A261" s="6">
        <v>259</v>
      </c>
      <c r="B261" s="6" t="s">
        <v>22</v>
      </c>
      <c r="C261" s="6" t="str">
        <f>"数学分析II（英文）"</f>
        <v>数学分析II（英文）</v>
      </c>
      <c r="D261" s="6" t="str">
        <f t="shared" si="11"/>
        <v>通识基础课</v>
      </c>
      <c r="E261" s="6" t="str">
        <f>"郭训香"</f>
        <v>郭训香</v>
      </c>
      <c r="F261" s="6" t="str">
        <f>"王珂"</f>
        <v>王珂</v>
      </c>
      <c r="G261" s="6" t="str">
        <f>"1200202Z1004"</f>
        <v>1200202Z1004</v>
      </c>
      <c r="H261" s="7"/>
      <c r="I261" s="7"/>
    </row>
    <row r="262" ht="37.5" spans="1:9">
      <c r="A262" s="6">
        <v>260</v>
      </c>
      <c r="B262" s="6" t="s">
        <v>22</v>
      </c>
      <c r="C262" s="6" t="str">
        <f>"高等数学Ⅱ"</f>
        <v>高等数学Ⅱ</v>
      </c>
      <c r="D262" s="6" t="str">
        <f t="shared" si="11"/>
        <v>通识基础课</v>
      </c>
      <c r="E262" s="6" t="str">
        <f>"孟开文"</f>
        <v>孟开文</v>
      </c>
      <c r="F262" s="6" t="str">
        <f>"毛文富"</f>
        <v>毛文富</v>
      </c>
      <c r="G262" s="6" t="str">
        <f>"222070100024"</f>
        <v>222070100024</v>
      </c>
      <c r="H262" s="7"/>
      <c r="I262" s="7"/>
    </row>
    <row r="263" ht="37.5" spans="1:9">
      <c r="A263" s="6">
        <v>261</v>
      </c>
      <c r="B263" s="6" t="s">
        <v>22</v>
      </c>
      <c r="C263" s="6" t="str">
        <f>"高等数学Ⅱ"</f>
        <v>高等数学Ⅱ</v>
      </c>
      <c r="D263" s="6" t="str">
        <f t="shared" si="11"/>
        <v>通识基础课</v>
      </c>
      <c r="E263" s="6" t="str">
        <f>"戴岱"</f>
        <v>戴岱</v>
      </c>
      <c r="F263" s="6" t="str">
        <f>"程文锐"</f>
        <v>程文锐</v>
      </c>
      <c r="G263" s="6" t="str">
        <f>"121071400002"</f>
        <v>121071400002</v>
      </c>
      <c r="H263" s="7"/>
      <c r="I263" s="7"/>
    </row>
    <row r="264" ht="37.5" spans="1:9">
      <c r="A264" s="6">
        <v>262</v>
      </c>
      <c r="B264" s="6" t="s">
        <v>22</v>
      </c>
      <c r="C264" s="6" t="str">
        <f>"高等代数Ⅰ"</f>
        <v>高等代数Ⅰ</v>
      </c>
      <c r="D264" s="6" t="str">
        <f t="shared" si="11"/>
        <v>通识基础课</v>
      </c>
      <c r="E264" s="6" t="str">
        <f>"张炜"</f>
        <v>张炜</v>
      </c>
      <c r="F264" s="6" t="str">
        <f>"刘玥悦"</f>
        <v>刘玥悦</v>
      </c>
      <c r="G264" s="6" t="str">
        <f>"221070100006"</f>
        <v>221070100006</v>
      </c>
      <c r="H264" s="7"/>
      <c r="I264" s="7"/>
    </row>
    <row r="265" ht="37.5" spans="1:9">
      <c r="A265" s="6">
        <v>263</v>
      </c>
      <c r="B265" s="6" t="s">
        <v>22</v>
      </c>
      <c r="C265" s="6" t="str">
        <f>"高等数学Ⅱ"</f>
        <v>高等数学Ⅱ</v>
      </c>
      <c r="D265" s="6" t="str">
        <f t="shared" ref="D265:D280" si="12">"通识基础课"</f>
        <v>通识基础课</v>
      </c>
      <c r="E265" s="6" t="str">
        <f>"余喜生"</f>
        <v>余喜生</v>
      </c>
      <c r="F265" s="6" t="str">
        <f>"郑帅"</f>
        <v>郑帅</v>
      </c>
      <c r="G265" s="6" t="str">
        <f>"2210202Z1005"</f>
        <v>2210202Z1005</v>
      </c>
      <c r="H265" s="7"/>
      <c r="I265" s="7"/>
    </row>
    <row r="266" ht="37.5" spans="1:9">
      <c r="A266" s="6">
        <v>264</v>
      </c>
      <c r="B266" s="6" t="s">
        <v>22</v>
      </c>
      <c r="C266" s="6" t="str">
        <f>"高等代数Ⅱ（理科）"</f>
        <v>高等代数Ⅱ（理科）</v>
      </c>
      <c r="D266" s="6" t="str">
        <f t="shared" si="12"/>
        <v>通识基础课</v>
      </c>
      <c r="E266" s="6" t="str">
        <f>"赵建容"</f>
        <v>赵建容</v>
      </c>
      <c r="F266" s="6" t="str">
        <f>"王辰旭"</f>
        <v>王辰旭</v>
      </c>
      <c r="G266" s="6" t="str">
        <f>"222070100003"</f>
        <v>222070100003</v>
      </c>
      <c r="H266" s="7"/>
      <c r="I266" s="7"/>
    </row>
    <row r="267" ht="37.5" spans="1:9">
      <c r="A267" s="6">
        <v>265</v>
      </c>
      <c r="B267" s="6" t="s">
        <v>22</v>
      </c>
      <c r="C267" s="6" t="str">
        <f>"多元微积分"</f>
        <v>多元微积分</v>
      </c>
      <c r="D267" s="6" t="str">
        <f t="shared" si="12"/>
        <v>通识基础课</v>
      </c>
      <c r="E267" s="6" t="str">
        <f>"张文燕"</f>
        <v>张文燕</v>
      </c>
      <c r="F267" s="6" t="str">
        <f>"黄红振"</f>
        <v>黄红振</v>
      </c>
      <c r="G267" s="6" t="str">
        <f>"1220202Z1003"</f>
        <v>1220202Z1003</v>
      </c>
      <c r="H267" s="7"/>
      <c r="I267" s="7"/>
    </row>
    <row r="268" ht="37.5" spans="1:9">
      <c r="A268" s="6">
        <v>266</v>
      </c>
      <c r="B268" s="6" t="s">
        <v>22</v>
      </c>
      <c r="C268" s="6" t="str">
        <f>"高等代数Ⅱ"</f>
        <v>高等代数Ⅱ</v>
      </c>
      <c r="D268" s="6" t="str">
        <f t="shared" si="12"/>
        <v>通识基础课</v>
      </c>
      <c r="E268" s="6" t="str">
        <f>"樊胜"</f>
        <v>樊胜</v>
      </c>
      <c r="F268" s="6" t="str">
        <f>"夏汪洋"</f>
        <v>夏汪洋</v>
      </c>
      <c r="G268" s="6" t="str">
        <f>"2230202Z1019"</f>
        <v>2230202Z1019</v>
      </c>
      <c r="H268" s="7"/>
      <c r="I268" s="7"/>
    </row>
    <row r="269" ht="37.5" spans="1:9">
      <c r="A269" s="6">
        <v>267</v>
      </c>
      <c r="B269" s="6" t="s">
        <v>22</v>
      </c>
      <c r="C269" s="6" t="str">
        <f>"数学分析Ⅱ（理科）"</f>
        <v>数学分析Ⅱ（理科）</v>
      </c>
      <c r="D269" s="6" t="str">
        <f t="shared" si="12"/>
        <v>通识基础课</v>
      </c>
      <c r="E269" s="6" t="str">
        <f>"李涛"</f>
        <v>李涛</v>
      </c>
      <c r="F269" s="6" t="str">
        <f>"陈博"</f>
        <v>陈博</v>
      </c>
      <c r="G269" s="6" t="str">
        <f>"123070100002"</f>
        <v>123070100002</v>
      </c>
      <c r="H269" s="7"/>
      <c r="I269" s="7"/>
    </row>
    <row r="270" ht="37.5" spans="1:9">
      <c r="A270" s="6">
        <v>268</v>
      </c>
      <c r="B270" s="6" t="s">
        <v>22</v>
      </c>
      <c r="C270" s="6" t="str">
        <f>"高等代数Ⅰ"</f>
        <v>高等代数Ⅰ</v>
      </c>
      <c r="D270" s="6" t="str">
        <f t="shared" si="12"/>
        <v>通识基础课</v>
      </c>
      <c r="E270" s="6" t="str">
        <f>"李静"</f>
        <v>李静</v>
      </c>
      <c r="F270" s="6" t="str">
        <f>"李帅龙"</f>
        <v>李帅龙</v>
      </c>
      <c r="G270" s="6" t="str">
        <f>"2220202Z1011"</f>
        <v>2220202Z1011</v>
      </c>
      <c r="H270" s="7"/>
      <c r="I270" s="7"/>
    </row>
    <row r="271" ht="37.5" spans="1:9">
      <c r="A271" s="6">
        <v>269</v>
      </c>
      <c r="B271" s="6" t="s">
        <v>22</v>
      </c>
      <c r="C271" s="6" t="str">
        <f>"高等数学Ⅱ"</f>
        <v>高等数学Ⅱ</v>
      </c>
      <c r="D271" s="6" t="str">
        <f t="shared" si="12"/>
        <v>通识基础课</v>
      </c>
      <c r="E271" s="6" t="str">
        <f>"王锐"</f>
        <v>王锐</v>
      </c>
      <c r="F271" s="6" t="str">
        <f>"芦彦"</f>
        <v>芦彦</v>
      </c>
      <c r="G271" s="6" t="str">
        <f>"222070100017"</f>
        <v>222070100017</v>
      </c>
      <c r="H271" s="7"/>
      <c r="I271" s="7"/>
    </row>
    <row r="272" ht="37.5" spans="1:9">
      <c r="A272" s="6">
        <v>270</v>
      </c>
      <c r="B272" s="6" t="s">
        <v>22</v>
      </c>
      <c r="C272" s="6" t="str">
        <f>"高等代数Ⅱ"</f>
        <v>高等代数Ⅱ</v>
      </c>
      <c r="D272" s="6" t="str">
        <f t="shared" si="12"/>
        <v>通识基础课</v>
      </c>
      <c r="E272" s="6" t="str">
        <f>"朱胜坤"</f>
        <v>朱胜坤</v>
      </c>
      <c r="F272" s="6" t="str">
        <f>"黄佳晴"</f>
        <v>黄佳晴</v>
      </c>
      <c r="G272" s="6" t="str">
        <f>"221070100007"</f>
        <v>221070100007</v>
      </c>
      <c r="H272" s="7"/>
      <c r="I272" s="7"/>
    </row>
    <row r="273" ht="37.5" spans="1:9">
      <c r="A273" s="6">
        <v>271</v>
      </c>
      <c r="B273" s="6" t="s">
        <v>22</v>
      </c>
      <c r="C273" s="6" t="str">
        <f>"数学分析Ⅱ（理科）"</f>
        <v>数学分析Ⅱ（理科）</v>
      </c>
      <c r="D273" s="6" t="str">
        <f t="shared" si="12"/>
        <v>通识基础课</v>
      </c>
      <c r="E273" s="6" t="str">
        <f>"冯保伟"</f>
        <v>冯保伟</v>
      </c>
      <c r="F273" s="6" t="str">
        <f>"刘泠钰"</f>
        <v>刘泠钰</v>
      </c>
      <c r="G273" s="6" t="str">
        <f>"222070100019"</f>
        <v>222070100019</v>
      </c>
      <c r="H273" s="7"/>
      <c r="I273" s="7"/>
    </row>
    <row r="274" ht="37.5" spans="1:9">
      <c r="A274" s="6">
        <v>272</v>
      </c>
      <c r="B274" s="6" t="s">
        <v>22</v>
      </c>
      <c r="C274" s="6" t="str">
        <f>"数学分析Ⅱ（理科）"</f>
        <v>数学分析Ⅱ（理科）</v>
      </c>
      <c r="D274" s="6" t="str">
        <f t="shared" si="12"/>
        <v>通识基础课</v>
      </c>
      <c r="E274" s="6" t="str">
        <f>"冯保伟"</f>
        <v>冯保伟</v>
      </c>
      <c r="F274" s="6" t="str">
        <f>"徐丹"</f>
        <v>徐丹</v>
      </c>
      <c r="G274" s="6" t="str">
        <f>"222070100021"</f>
        <v>222070100021</v>
      </c>
      <c r="H274" s="7"/>
      <c r="I274" s="7"/>
    </row>
    <row r="275" ht="37.5" spans="1:9">
      <c r="A275" s="6">
        <v>273</v>
      </c>
      <c r="B275" s="6" t="s">
        <v>22</v>
      </c>
      <c r="C275" s="6" t="str">
        <f>"机器学习数学基础"</f>
        <v>机器学习数学基础</v>
      </c>
      <c r="D275" s="6" t="str">
        <f t="shared" si="12"/>
        <v>通识基础课</v>
      </c>
      <c r="E275" s="6" t="str">
        <f>"林谦"</f>
        <v>林谦</v>
      </c>
      <c r="F275" s="6" t="str">
        <f>"张雪"</f>
        <v>张雪</v>
      </c>
      <c r="G275" s="6" t="str">
        <f>"221070100011"</f>
        <v>221070100011</v>
      </c>
      <c r="H275" s="7"/>
      <c r="I275" s="7"/>
    </row>
    <row r="276" ht="37.5" spans="1:9">
      <c r="A276" s="6">
        <v>274</v>
      </c>
      <c r="B276" s="6" t="s">
        <v>22</v>
      </c>
      <c r="C276" s="6" t="str">
        <f>"数学分析Ⅱ（理科）"</f>
        <v>数学分析Ⅱ（理科）</v>
      </c>
      <c r="D276" s="6" t="str">
        <f t="shared" si="12"/>
        <v>通识基础课</v>
      </c>
      <c r="E276" s="6" t="str">
        <f>"邓汝良"</f>
        <v>邓汝良</v>
      </c>
      <c r="F276" s="6" t="str">
        <f>"蒋怡蕊"</f>
        <v>蒋怡蕊</v>
      </c>
      <c r="G276" s="6" t="str">
        <f>"1230202Z2004"</f>
        <v>1230202Z2004</v>
      </c>
      <c r="H276" s="7"/>
      <c r="I276" s="7"/>
    </row>
    <row r="277" ht="37.5" spans="1:9">
      <c r="A277" s="6">
        <v>275</v>
      </c>
      <c r="B277" s="6" t="s">
        <v>22</v>
      </c>
      <c r="C277" s="6" t="str">
        <f>"数学分析Ⅱ（理科）"</f>
        <v>数学分析Ⅱ（理科）</v>
      </c>
      <c r="D277" s="6" t="str">
        <f t="shared" si="12"/>
        <v>通识基础课</v>
      </c>
      <c r="E277" s="6" t="str">
        <f>"王永富"</f>
        <v>王永富</v>
      </c>
      <c r="F277" s="6" t="str">
        <f>"何蕊岑"</f>
        <v>何蕊岑</v>
      </c>
      <c r="G277" s="6" t="str">
        <f>"223070100003"</f>
        <v>223070100003</v>
      </c>
      <c r="H277" s="7"/>
      <c r="I277" s="7"/>
    </row>
    <row r="278" ht="37.5" spans="1:9">
      <c r="A278" s="6">
        <v>276</v>
      </c>
      <c r="B278" s="6" t="s">
        <v>22</v>
      </c>
      <c r="C278" s="6" t="str">
        <f>"数学分析Ⅱ（理科）"</f>
        <v>数学分析Ⅱ（理科）</v>
      </c>
      <c r="D278" s="6" t="str">
        <f t="shared" si="12"/>
        <v>通识基础课</v>
      </c>
      <c r="E278" s="6" t="str">
        <f>"方敏"</f>
        <v>方敏</v>
      </c>
      <c r="F278" s="6" t="str">
        <f>"王丽媛"</f>
        <v>王丽媛</v>
      </c>
      <c r="G278" s="6" t="str">
        <f>"1220202Z1008"</f>
        <v>1220202Z1008</v>
      </c>
      <c r="H278" s="7"/>
      <c r="I278" s="7"/>
    </row>
    <row r="279" ht="37.5" spans="1:9">
      <c r="A279" s="6">
        <v>277</v>
      </c>
      <c r="B279" s="6" t="s">
        <v>22</v>
      </c>
      <c r="C279" s="6" t="str">
        <f>"数学分析Ⅱ（理科）"</f>
        <v>数学分析Ⅱ（理科）</v>
      </c>
      <c r="D279" s="6" t="str">
        <f t="shared" si="12"/>
        <v>通识基础课</v>
      </c>
      <c r="E279" s="6" t="str">
        <f>"崔红卫"</f>
        <v>崔红卫</v>
      </c>
      <c r="F279" s="6" t="str">
        <f>"杨杰"</f>
        <v>杨杰</v>
      </c>
      <c r="G279" s="6" t="str">
        <f>"1230202Z2006"</f>
        <v>1230202Z2006</v>
      </c>
      <c r="H279" s="7"/>
      <c r="I279" s="7"/>
    </row>
    <row r="280" ht="37.5" spans="1:9">
      <c r="A280" s="6">
        <v>278</v>
      </c>
      <c r="B280" s="6" t="s">
        <v>22</v>
      </c>
      <c r="C280" s="6" t="str">
        <f>"多元微积分"</f>
        <v>多元微积分</v>
      </c>
      <c r="D280" s="6" t="str">
        <f t="shared" si="12"/>
        <v>通识基础课</v>
      </c>
      <c r="E280" s="6" t="str">
        <f>"张文燕"</f>
        <v>张文燕</v>
      </c>
      <c r="F280" s="6" t="str">
        <f>"匡炳豪"</f>
        <v>匡炳豪</v>
      </c>
      <c r="G280" s="6" t="str">
        <f>"2210202Z1011"</f>
        <v>2210202Z1011</v>
      </c>
      <c r="H280" s="7"/>
      <c r="I280" s="7"/>
    </row>
    <row r="281" ht="37.5" spans="1:9">
      <c r="A281" s="6">
        <v>279</v>
      </c>
      <c r="B281" s="6" t="s">
        <v>22</v>
      </c>
      <c r="C281" s="6" t="str">
        <f>"复变函数"</f>
        <v>复变函数</v>
      </c>
      <c r="D281" s="6" t="str">
        <f>"专业方向课"</f>
        <v>专业方向课</v>
      </c>
      <c r="E281" s="6" t="str">
        <f>"林一丁"</f>
        <v>林一丁</v>
      </c>
      <c r="F281" s="6" t="str">
        <f>"邹粉菊"</f>
        <v>邹粉菊</v>
      </c>
      <c r="G281" s="6" t="str">
        <f>"121020201001"</f>
        <v>121020201001</v>
      </c>
      <c r="H281" s="7"/>
      <c r="I281" s="7"/>
    </row>
    <row r="282" ht="37.5" spans="1:9">
      <c r="A282" s="6">
        <v>280</v>
      </c>
      <c r="B282" s="6" t="s">
        <v>22</v>
      </c>
      <c r="C282" s="6" t="str">
        <f>"高等数学Ⅱ"</f>
        <v>高等数学Ⅱ</v>
      </c>
      <c r="D282" s="6" t="str">
        <f>"通识基础课"</f>
        <v>通识基础课</v>
      </c>
      <c r="E282" s="6" t="str">
        <f>"林一丁"</f>
        <v>林一丁</v>
      </c>
      <c r="F282" s="6" t="str">
        <f>"周圣楷"</f>
        <v>周圣楷</v>
      </c>
      <c r="G282" s="6" t="str">
        <f>"122120204004"</f>
        <v>122120204004</v>
      </c>
      <c r="H282" s="7"/>
      <c r="I282" s="7"/>
    </row>
    <row r="283" ht="37.5" spans="1:9">
      <c r="A283" s="6">
        <v>281</v>
      </c>
      <c r="B283" s="6" t="s">
        <v>22</v>
      </c>
      <c r="C283" s="6" t="str">
        <f>"概率论（理科）"</f>
        <v>概率论（理科）</v>
      </c>
      <c r="D283" s="6" t="str">
        <f>"通识基础课"</f>
        <v>通识基础课</v>
      </c>
      <c r="E283" s="6" t="str">
        <f>"骆川义"</f>
        <v>骆川义</v>
      </c>
      <c r="F283" s="6" t="str">
        <f>"丁登龙"</f>
        <v>丁登龙</v>
      </c>
      <c r="G283" s="6" t="str">
        <f>"121020202004"</f>
        <v>121020202004</v>
      </c>
      <c r="H283" s="7"/>
      <c r="I283" s="7"/>
    </row>
    <row r="284" ht="37.5" spans="1:9">
      <c r="A284" s="6">
        <v>282</v>
      </c>
      <c r="B284" s="6" t="s">
        <v>22</v>
      </c>
      <c r="C284" s="6" t="str">
        <f>"多元统计分析"</f>
        <v>多元统计分析</v>
      </c>
      <c r="D284" s="6" t="str">
        <f>"专业方向课"</f>
        <v>专业方向课</v>
      </c>
      <c r="E284" s="6" t="str">
        <f>"林谦"</f>
        <v>林谦</v>
      </c>
      <c r="F284" s="6" t="str">
        <f>"邹蝶"</f>
        <v>邹蝶</v>
      </c>
      <c r="G284" s="6" t="str">
        <f>"2210202Z1029"</f>
        <v>2210202Z1029</v>
      </c>
      <c r="H284" s="7"/>
      <c r="I284" s="7"/>
    </row>
    <row r="285" ht="37.5" spans="1:9">
      <c r="A285" s="6">
        <v>283</v>
      </c>
      <c r="B285" s="6" t="s">
        <v>22</v>
      </c>
      <c r="C285" s="6" t="str">
        <f>"高等代数Ⅱ（理科）"</f>
        <v>高等代数Ⅱ（理科）</v>
      </c>
      <c r="D285" s="6" t="str">
        <f t="shared" ref="D285:D296" si="13">"通识基础课"</f>
        <v>通识基础课</v>
      </c>
      <c r="E285" s="6" t="str">
        <f>"朱胜坤"</f>
        <v>朱胜坤</v>
      </c>
      <c r="F285" s="6" t="str">
        <f>"唐珊珊"</f>
        <v>唐珊珊</v>
      </c>
      <c r="G285" s="6" t="str">
        <f>"222070100020"</f>
        <v>222070100020</v>
      </c>
      <c r="H285" s="7"/>
      <c r="I285" s="7"/>
    </row>
    <row r="286" ht="37.5" spans="1:9">
      <c r="A286" s="6">
        <v>284</v>
      </c>
      <c r="B286" s="6" t="s">
        <v>22</v>
      </c>
      <c r="C286" s="6" t="str">
        <f>"高等代数Ⅰ"</f>
        <v>高等代数Ⅰ</v>
      </c>
      <c r="D286" s="6" t="str">
        <f t="shared" si="13"/>
        <v>通识基础课</v>
      </c>
      <c r="E286" s="6" t="str">
        <f>"李双龙"</f>
        <v>李双龙</v>
      </c>
      <c r="F286" s="6" t="str">
        <f>"罗巧妮"</f>
        <v>罗巧妮</v>
      </c>
      <c r="G286" s="6" t="str">
        <f>"223070100010"</f>
        <v>223070100010</v>
      </c>
      <c r="H286" s="7"/>
      <c r="I286" s="7"/>
    </row>
    <row r="287" ht="37.5" spans="1:9">
      <c r="A287" s="6">
        <v>285</v>
      </c>
      <c r="B287" s="6" t="s">
        <v>22</v>
      </c>
      <c r="C287" s="6" t="str">
        <f>"高等代数Ⅱ"</f>
        <v>高等代数Ⅱ</v>
      </c>
      <c r="D287" s="6" t="str">
        <f t="shared" si="13"/>
        <v>通识基础课</v>
      </c>
      <c r="E287" s="6" t="str">
        <f>"李坤"</f>
        <v>李坤</v>
      </c>
      <c r="F287" s="6" t="str">
        <f>"刘杉芾"</f>
        <v>刘杉芾</v>
      </c>
      <c r="G287" s="6" t="str">
        <f>"223070100008"</f>
        <v>223070100008</v>
      </c>
      <c r="H287" s="7"/>
      <c r="I287" s="7"/>
    </row>
    <row r="288" ht="37.5" spans="1:9">
      <c r="A288" s="6">
        <v>286</v>
      </c>
      <c r="B288" s="6" t="s">
        <v>22</v>
      </c>
      <c r="C288" s="6" t="str">
        <f>"概率论（理科）"</f>
        <v>概率论（理科）</v>
      </c>
      <c r="D288" s="6" t="str">
        <f t="shared" si="13"/>
        <v>通识基础课</v>
      </c>
      <c r="E288" s="6" t="str">
        <f>"徐凤"</f>
        <v>徐凤</v>
      </c>
      <c r="F288" s="6" t="str">
        <f>"刘雯"</f>
        <v>刘雯</v>
      </c>
      <c r="G288" s="6" t="str">
        <f>"123020208006"</f>
        <v>123020208006</v>
      </c>
      <c r="H288" s="7"/>
      <c r="I288" s="7"/>
    </row>
    <row r="289" ht="37.5" spans="1:9">
      <c r="A289" s="6">
        <v>287</v>
      </c>
      <c r="B289" s="6" t="s">
        <v>22</v>
      </c>
      <c r="C289" s="6" t="str">
        <f>"数学分析Ⅱ（理科）"</f>
        <v>数学分析Ⅱ（理科）</v>
      </c>
      <c r="D289" s="6" t="str">
        <f t="shared" si="13"/>
        <v>通识基础课</v>
      </c>
      <c r="E289" s="6" t="str">
        <f>"崔红卫"</f>
        <v>崔红卫</v>
      </c>
      <c r="F289" s="6" t="str">
        <f>"曹佳龙"</f>
        <v>曹佳龙</v>
      </c>
      <c r="G289" s="6" t="str">
        <f>"223070100019"</f>
        <v>223070100019</v>
      </c>
      <c r="H289" s="7"/>
      <c r="I289" s="7"/>
    </row>
    <row r="290" ht="37.5" spans="1:9">
      <c r="A290" s="6">
        <v>288</v>
      </c>
      <c r="B290" s="6" t="s">
        <v>22</v>
      </c>
      <c r="C290" s="6" t="str">
        <f>"机器学习数学基础"</f>
        <v>机器学习数学基础</v>
      </c>
      <c r="D290" s="6" t="str">
        <f t="shared" si="13"/>
        <v>通识基础课</v>
      </c>
      <c r="E290" s="6" t="str">
        <f>"王天明"</f>
        <v>王天明</v>
      </c>
      <c r="F290" s="6" t="str">
        <f>"李彩霞"</f>
        <v>李彩霞</v>
      </c>
      <c r="G290" s="6" t="str">
        <f>"222070100023"</f>
        <v>222070100023</v>
      </c>
      <c r="H290" s="7"/>
      <c r="I290" s="7"/>
    </row>
    <row r="291" ht="37.5" spans="1:9">
      <c r="A291" s="6">
        <v>289</v>
      </c>
      <c r="B291" s="6" t="s">
        <v>22</v>
      </c>
      <c r="C291" s="6" t="str">
        <f>"高等数学Ⅱ"</f>
        <v>高等数学Ⅱ</v>
      </c>
      <c r="D291" s="6" t="str">
        <f t="shared" si="13"/>
        <v>通识基础课</v>
      </c>
      <c r="E291" s="6" t="str">
        <f>"王开弘"</f>
        <v>王开弘</v>
      </c>
      <c r="F291" s="6" t="str">
        <f>"杨青青"</f>
        <v>杨青青</v>
      </c>
      <c r="G291" s="6" t="str">
        <f>"121020204002"</f>
        <v>121020204002</v>
      </c>
      <c r="H291" s="7"/>
      <c r="I291" s="7"/>
    </row>
    <row r="292" ht="37.5" spans="1:9">
      <c r="A292" s="6">
        <v>290</v>
      </c>
      <c r="B292" s="6" t="s">
        <v>22</v>
      </c>
      <c r="C292" s="6" t="str">
        <f>"概率论（理科）"</f>
        <v>概率论（理科）</v>
      </c>
      <c r="D292" s="6" t="str">
        <f t="shared" si="13"/>
        <v>通识基础课</v>
      </c>
      <c r="E292" s="6" t="str">
        <f>"岳佳"</f>
        <v>岳佳</v>
      </c>
      <c r="F292" s="6" t="str">
        <f>"魏思宇"</f>
        <v>魏思宇</v>
      </c>
      <c r="G292" s="6" t="str">
        <f>"221070100002"</f>
        <v>221070100002</v>
      </c>
      <c r="H292" s="7"/>
      <c r="I292" s="7"/>
    </row>
    <row r="293" ht="37.5" spans="1:9">
      <c r="A293" s="6">
        <v>291</v>
      </c>
      <c r="B293" s="6" t="s">
        <v>22</v>
      </c>
      <c r="C293" s="6" t="str">
        <f>"高等代数Ⅱ"</f>
        <v>高等代数Ⅱ</v>
      </c>
      <c r="D293" s="6" t="str">
        <f t="shared" si="13"/>
        <v>通识基础课</v>
      </c>
      <c r="E293" s="6" t="str">
        <f>"林可"</f>
        <v>林可</v>
      </c>
      <c r="F293" s="6" t="str">
        <f>"林珍梅"</f>
        <v>林珍梅</v>
      </c>
      <c r="G293" s="6" t="str">
        <f>"1210202Z1006"</f>
        <v>1210202Z1006</v>
      </c>
      <c r="H293" s="7"/>
      <c r="I293" s="7"/>
    </row>
    <row r="294" ht="37.5" spans="1:9">
      <c r="A294" s="6">
        <v>292</v>
      </c>
      <c r="B294" s="6" t="s">
        <v>22</v>
      </c>
      <c r="C294" s="6" t="str">
        <f>"高等代数Ⅰ"</f>
        <v>高等代数Ⅰ</v>
      </c>
      <c r="D294" s="6" t="str">
        <f t="shared" si="13"/>
        <v>通识基础课</v>
      </c>
      <c r="E294" s="6" t="str">
        <f>"张昕"</f>
        <v>张昕</v>
      </c>
      <c r="F294" s="6" t="str">
        <f>"雍宏坤"</f>
        <v>雍宏坤</v>
      </c>
      <c r="G294" s="6" t="str">
        <f>"222070100010"</f>
        <v>222070100010</v>
      </c>
      <c r="H294" s="7"/>
      <c r="I294" s="7"/>
    </row>
    <row r="295" ht="37.5" spans="1:9">
      <c r="A295" s="6">
        <v>293</v>
      </c>
      <c r="B295" s="6" t="s">
        <v>22</v>
      </c>
      <c r="C295" s="6" t="str">
        <f>"高等数学Ⅱ"</f>
        <v>高等数学Ⅱ</v>
      </c>
      <c r="D295" s="6" t="str">
        <f t="shared" si="13"/>
        <v>通识基础课</v>
      </c>
      <c r="E295" s="6" t="str">
        <f>"祝书强"</f>
        <v>祝书强</v>
      </c>
      <c r="F295" s="6" t="str">
        <f>"章晶艳"</f>
        <v>章晶艳</v>
      </c>
      <c r="G295" s="6" t="str">
        <f>"222070100012"</f>
        <v>222070100012</v>
      </c>
      <c r="H295" s="7"/>
      <c r="I295" s="7"/>
    </row>
    <row r="296" ht="37.5" spans="1:9">
      <c r="A296" s="6">
        <v>294</v>
      </c>
      <c r="B296" s="6" t="s">
        <v>22</v>
      </c>
      <c r="C296" s="6" t="str">
        <f>"高等数学Ⅱ"</f>
        <v>高等数学Ⅱ</v>
      </c>
      <c r="D296" s="6" t="str">
        <f t="shared" si="13"/>
        <v>通识基础课</v>
      </c>
      <c r="E296" s="6" t="str">
        <f>"蒲洋"</f>
        <v>蒲洋</v>
      </c>
      <c r="F296" s="6" t="str">
        <f>"毕皓"</f>
        <v>毕皓</v>
      </c>
      <c r="G296" s="6" t="str">
        <f>"222070100013"</f>
        <v>222070100013</v>
      </c>
      <c r="H296" s="7"/>
      <c r="I296" s="7"/>
    </row>
    <row r="297" ht="37.5" spans="1:9">
      <c r="A297" s="6">
        <v>295</v>
      </c>
      <c r="B297" s="6" t="s">
        <v>22</v>
      </c>
      <c r="C297" s="6" t="str">
        <f>"实变函数论"</f>
        <v>实变函数论</v>
      </c>
      <c r="D297" s="6" t="str">
        <f>"大学科基础课"</f>
        <v>大学科基础课</v>
      </c>
      <c r="E297" s="6" t="str">
        <f>"桑元琦"</f>
        <v>桑元琦</v>
      </c>
      <c r="F297" s="6" t="str">
        <f>"倪朕"</f>
        <v>倪朕</v>
      </c>
      <c r="G297" s="6" t="str">
        <f>"223070100002"</f>
        <v>223070100002</v>
      </c>
      <c r="H297" s="7"/>
      <c r="I297" s="7"/>
    </row>
    <row r="298" ht="37.5" spans="1:9">
      <c r="A298" s="6">
        <v>296</v>
      </c>
      <c r="B298" s="6" t="s">
        <v>22</v>
      </c>
      <c r="C298" s="6" t="str">
        <f>"数理统计"</f>
        <v>数理统计</v>
      </c>
      <c r="D298" s="6" t="str">
        <f>"专业必修课"</f>
        <v>专业必修课</v>
      </c>
      <c r="E298" s="6" t="str">
        <f>"李绍文"</f>
        <v>李绍文</v>
      </c>
      <c r="F298" s="6" t="str">
        <f>"杨传旺"</f>
        <v>杨传旺</v>
      </c>
      <c r="G298" s="6" t="str">
        <f>"2230202Z1006"</f>
        <v>2230202Z1006</v>
      </c>
      <c r="H298" s="7"/>
      <c r="I298" s="7"/>
    </row>
    <row r="299" ht="37.5" spans="1:9">
      <c r="A299" s="6">
        <v>297</v>
      </c>
      <c r="B299" s="6" t="s">
        <v>22</v>
      </c>
      <c r="C299" s="6" t="str">
        <f>"经济博弈论"</f>
        <v>经济博弈论</v>
      </c>
      <c r="D299" s="6" t="str">
        <f>"专业方向课"</f>
        <v>专业方向课</v>
      </c>
      <c r="E299" s="6" t="str">
        <f>"丁川"</f>
        <v>丁川</v>
      </c>
      <c r="F299" s="6" t="str">
        <f>"王智宇"</f>
        <v>王智宇</v>
      </c>
      <c r="G299" s="6" t="str">
        <f>"1220202Z1007"</f>
        <v>1220202Z1007</v>
      </c>
      <c r="H299" s="7"/>
      <c r="I299" s="7"/>
    </row>
    <row r="300" ht="37.5" spans="1:9">
      <c r="A300" s="6">
        <v>298</v>
      </c>
      <c r="B300" s="6" t="s">
        <v>22</v>
      </c>
      <c r="C300" s="6" t="str">
        <f>"高等代数Ⅱ"</f>
        <v>高等代数Ⅱ</v>
      </c>
      <c r="D300" s="6" t="str">
        <f>"通识基础课"</f>
        <v>通识基础课</v>
      </c>
      <c r="E300" s="6" t="str">
        <f>"樊胜"</f>
        <v>樊胜</v>
      </c>
      <c r="F300" s="6" t="str">
        <f>"张婷婷"</f>
        <v>张婷婷</v>
      </c>
      <c r="G300" s="6" t="str">
        <f>"1200202Z1002"</f>
        <v>1200202Z1002</v>
      </c>
      <c r="H300" s="7"/>
      <c r="I300" s="7"/>
    </row>
    <row r="301" ht="37.5" spans="1:9">
      <c r="A301" s="6">
        <v>299</v>
      </c>
      <c r="B301" s="6" t="s">
        <v>22</v>
      </c>
      <c r="C301" s="6" t="str">
        <f>"数学分析Ⅱ（理科）"</f>
        <v>数学分析Ⅱ（理科）</v>
      </c>
      <c r="D301" s="6" t="str">
        <f>"通识基础课"</f>
        <v>通识基础课</v>
      </c>
      <c r="E301" s="6" t="str">
        <f>"方敏"</f>
        <v>方敏</v>
      </c>
      <c r="F301" s="6" t="str">
        <f>"帅江羽"</f>
        <v>帅江羽</v>
      </c>
      <c r="G301" s="6" t="str">
        <f>"1200202Z1005"</f>
        <v>1200202Z1005</v>
      </c>
      <c r="H301" s="7"/>
      <c r="I301" s="7"/>
    </row>
    <row r="302" ht="37.5" spans="1:9">
      <c r="A302" s="6">
        <v>300</v>
      </c>
      <c r="B302" s="6" t="s">
        <v>22</v>
      </c>
      <c r="C302" s="6" t="str">
        <f>"微分方程数值解"</f>
        <v>微分方程数值解</v>
      </c>
      <c r="D302" s="6" t="str">
        <f>"专业方向课"</f>
        <v>专业方向课</v>
      </c>
      <c r="E302" s="6" t="str">
        <f>"陈善镇"</f>
        <v>陈善镇</v>
      </c>
      <c r="F302" s="6" t="str">
        <f>"张祥"</f>
        <v>张祥</v>
      </c>
      <c r="G302" s="6" t="str">
        <f>"221070100008"</f>
        <v>221070100008</v>
      </c>
      <c r="H302" s="7"/>
      <c r="I302" s="7"/>
    </row>
    <row r="303" ht="37.5" spans="1:9">
      <c r="A303" s="6">
        <v>301</v>
      </c>
      <c r="B303" s="6" t="s">
        <v>22</v>
      </c>
      <c r="C303" s="6" t="str">
        <f>"概率论（理科）"</f>
        <v>概率论（理科）</v>
      </c>
      <c r="D303" s="6" t="str">
        <f>"通识基础课"</f>
        <v>通识基础课</v>
      </c>
      <c r="E303" s="6" t="str">
        <f>"杨扬"</f>
        <v>杨扬</v>
      </c>
      <c r="F303" s="6" t="str">
        <f>"洪艺琳"</f>
        <v>洪艺琳</v>
      </c>
      <c r="G303" s="6" t="str">
        <f>"1200202Z1007"</f>
        <v>1200202Z1007</v>
      </c>
      <c r="H303" s="7"/>
      <c r="I303" s="7"/>
    </row>
    <row r="304" ht="37.5" spans="1:9">
      <c r="A304" s="6">
        <v>302</v>
      </c>
      <c r="B304" s="6" t="s">
        <v>22</v>
      </c>
      <c r="C304" s="6" t="str">
        <f>"高等代数Ⅱ"</f>
        <v>高等代数Ⅱ</v>
      </c>
      <c r="D304" s="6" t="str">
        <f>"通识基础课"</f>
        <v>通识基础课</v>
      </c>
      <c r="E304" s="6" t="str">
        <f>"樊胜"</f>
        <v>樊胜</v>
      </c>
      <c r="F304" s="6" t="str">
        <f>"付靖"</f>
        <v>付靖</v>
      </c>
      <c r="G304" s="6" t="str">
        <f>"1200202Z1009"</f>
        <v>1200202Z1009</v>
      </c>
      <c r="H304" s="7"/>
      <c r="I304" s="7"/>
    </row>
    <row r="305" ht="37.5" spans="1:9">
      <c r="A305" s="6">
        <v>303</v>
      </c>
      <c r="B305" s="6" t="s">
        <v>22</v>
      </c>
      <c r="C305" s="6" t="str">
        <f>"高等代数Ⅱ"</f>
        <v>高等代数Ⅱ</v>
      </c>
      <c r="D305" s="6" t="str">
        <f>"通识基础课"</f>
        <v>通识基础课</v>
      </c>
      <c r="E305" s="6" t="str">
        <f>"朱胜坤"</f>
        <v>朱胜坤</v>
      </c>
      <c r="F305" s="6" t="str">
        <f>"李志豪"</f>
        <v>李志豪</v>
      </c>
      <c r="G305" s="6" t="str">
        <f>"222070100018"</f>
        <v>222070100018</v>
      </c>
      <c r="H305" s="7"/>
      <c r="I305" s="7"/>
    </row>
    <row r="306" ht="37.5" spans="1:9">
      <c r="A306" s="6">
        <v>304</v>
      </c>
      <c r="B306" s="6" t="s">
        <v>22</v>
      </c>
      <c r="C306" s="6" t="str">
        <f>"数学建模与数学实验"</f>
        <v>数学建模与数学实验</v>
      </c>
      <c r="D306" s="6" t="str">
        <f>"实践环节课"</f>
        <v>实践环节课</v>
      </c>
      <c r="E306" s="6" t="str">
        <f>"孙云龙"</f>
        <v>孙云龙</v>
      </c>
      <c r="F306" s="6" t="str">
        <f>"刘宇涵"</f>
        <v>刘宇涵</v>
      </c>
      <c r="G306" s="6" t="str">
        <f>"122020201003"</f>
        <v>122020201003</v>
      </c>
      <c r="H306" s="7"/>
      <c r="I306" s="7"/>
    </row>
    <row r="307" ht="37.5" spans="1:9">
      <c r="A307" s="6">
        <v>305</v>
      </c>
      <c r="B307" s="6" t="s">
        <v>22</v>
      </c>
      <c r="C307" s="6" t="str">
        <f>"实变函数论"</f>
        <v>实变函数论</v>
      </c>
      <c r="D307" s="6" t="str">
        <f>"自由选修课"</f>
        <v>自由选修课</v>
      </c>
      <c r="E307" s="6" t="str">
        <f>"祝书强"</f>
        <v>祝书强</v>
      </c>
      <c r="F307" s="6" t="str">
        <f>"冉家树"</f>
        <v>冉家树</v>
      </c>
      <c r="G307" s="6" t="str">
        <f>"221070100003"</f>
        <v>221070100003</v>
      </c>
      <c r="H307" s="7"/>
      <c r="I307" s="7"/>
    </row>
    <row r="308" ht="37.5" spans="1:9">
      <c r="A308" s="6">
        <v>306</v>
      </c>
      <c r="B308" s="6" t="s">
        <v>22</v>
      </c>
      <c r="C308" s="6" t="str">
        <f>"数学分析Ⅱ（理科）"</f>
        <v>数学分析Ⅱ（理科）</v>
      </c>
      <c r="D308" s="6" t="str">
        <f>"通识基础课"</f>
        <v>通识基础课</v>
      </c>
      <c r="E308" s="6" t="str">
        <f>"崔红卫"</f>
        <v>崔红卫</v>
      </c>
      <c r="F308" s="6" t="str">
        <f>"冯泽宇"</f>
        <v>冯泽宇</v>
      </c>
      <c r="G308" s="6" t="str">
        <f>"1210202Z1010"</f>
        <v>1210202Z1010</v>
      </c>
      <c r="H308" s="7"/>
      <c r="I308" s="7"/>
    </row>
    <row r="309" ht="37.5" spans="1:9">
      <c r="A309" s="6">
        <v>307</v>
      </c>
      <c r="B309" s="6" t="s">
        <v>22</v>
      </c>
      <c r="C309" s="6" t="str">
        <f>"随机过程"</f>
        <v>随机过程</v>
      </c>
      <c r="D309" s="6" t="str">
        <f>"自由选修课"</f>
        <v>自由选修课</v>
      </c>
      <c r="E309" s="6" t="str">
        <f>"骆川义"</f>
        <v>骆川义</v>
      </c>
      <c r="F309" s="6" t="str">
        <f>"胡先全"</f>
        <v>胡先全</v>
      </c>
      <c r="G309" s="6" t="str">
        <f>"1210202Z1008"</f>
        <v>1210202Z1008</v>
      </c>
      <c r="H309" s="7"/>
      <c r="I309" s="7"/>
    </row>
    <row r="310" ht="37.5" spans="1:9">
      <c r="A310" s="6">
        <v>308</v>
      </c>
      <c r="B310" s="6" t="s">
        <v>22</v>
      </c>
      <c r="C310" s="6" t="str">
        <f>"数学分析Ⅱ（理科）"</f>
        <v>数学分析Ⅱ（理科）</v>
      </c>
      <c r="D310" s="6" t="str">
        <f t="shared" ref="D310:D316" si="14">"通识基础课"</f>
        <v>通识基础课</v>
      </c>
      <c r="E310" s="6" t="str">
        <f>"李涛"</f>
        <v>李涛</v>
      </c>
      <c r="F310" s="6" t="str">
        <f>"陈敏"</f>
        <v>陈敏</v>
      </c>
      <c r="G310" s="6" t="str">
        <f>"222070100004"</f>
        <v>222070100004</v>
      </c>
      <c r="H310" s="7"/>
      <c r="I310" s="7"/>
    </row>
    <row r="311" ht="37.5" spans="1:9">
      <c r="A311" s="6">
        <v>309</v>
      </c>
      <c r="B311" s="6" t="s">
        <v>22</v>
      </c>
      <c r="C311" s="6" t="str">
        <f>"高等数学Ⅱ"</f>
        <v>高等数学Ⅱ</v>
      </c>
      <c r="D311" s="6" t="str">
        <f t="shared" si="14"/>
        <v>通识基础课</v>
      </c>
      <c r="E311" s="6" t="str">
        <f>"代宏霞"</f>
        <v>代宏霞</v>
      </c>
      <c r="F311" s="6" t="str">
        <f>"田嫒"</f>
        <v>田嫒</v>
      </c>
      <c r="G311" s="6" t="str">
        <f>"121020201002"</f>
        <v>121020201002</v>
      </c>
      <c r="H311" s="7"/>
      <c r="I311" s="7"/>
    </row>
    <row r="312" ht="37.5" spans="1:9">
      <c r="A312" s="6">
        <v>310</v>
      </c>
      <c r="B312" s="6" t="s">
        <v>22</v>
      </c>
      <c r="C312" s="6" t="str">
        <f>"高等代数Ⅱ"</f>
        <v>高等代数Ⅱ</v>
      </c>
      <c r="D312" s="6" t="str">
        <f t="shared" si="14"/>
        <v>通识基础课</v>
      </c>
      <c r="E312" s="6" t="str">
        <f>"林可"</f>
        <v>林可</v>
      </c>
      <c r="F312" s="6" t="str">
        <f>"魏欣"</f>
        <v>魏欣</v>
      </c>
      <c r="G312" s="6" t="str">
        <f>"221070100012"</f>
        <v>221070100012</v>
      </c>
      <c r="H312" s="7"/>
      <c r="I312" s="7"/>
    </row>
    <row r="313" ht="37.5" spans="1:9">
      <c r="A313" s="6">
        <v>311</v>
      </c>
      <c r="B313" s="6" t="s">
        <v>22</v>
      </c>
      <c r="C313" s="6" t="str">
        <f>"高等代数Ⅱ"</f>
        <v>高等代数Ⅱ</v>
      </c>
      <c r="D313" s="6" t="str">
        <f t="shared" si="14"/>
        <v>通识基础课</v>
      </c>
      <c r="E313" s="6" t="str">
        <f>"林可"</f>
        <v>林可</v>
      </c>
      <c r="F313" s="6" t="str">
        <f>"曾启旺"</f>
        <v>曾启旺</v>
      </c>
      <c r="G313" s="6" t="str">
        <f>"223070100027"</f>
        <v>223070100027</v>
      </c>
      <c r="H313" s="7"/>
      <c r="I313" s="7"/>
    </row>
    <row r="314" ht="37.5" spans="1:9">
      <c r="A314" s="6">
        <v>312</v>
      </c>
      <c r="B314" s="6" t="s">
        <v>22</v>
      </c>
      <c r="C314" s="6" t="str">
        <f>"数学分析Ⅱ（理科）"</f>
        <v>数学分析Ⅱ（理科）</v>
      </c>
      <c r="D314" s="6" t="str">
        <f t="shared" si="14"/>
        <v>通识基础课</v>
      </c>
      <c r="E314" s="6" t="str">
        <f>"陈小平"</f>
        <v>陈小平</v>
      </c>
      <c r="F314" s="6" t="str">
        <f>"乐海波"</f>
        <v>乐海波</v>
      </c>
      <c r="G314" s="6" t="str">
        <f>"119020204017"</f>
        <v>119020204017</v>
      </c>
      <c r="H314" s="7"/>
      <c r="I314" s="7"/>
    </row>
    <row r="315" ht="37.5" spans="1:9">
      <c r="A315" s="6">
        <v>313</v>
      </c>
      <c r="B315" s="6" t="s">
        <v>22</v>
      </c>
      <c r="C315" s="6" t="str">
        <f>"数学分析Ⅱ（理科）"</f>
        <v>数学分析Ⅱ（理科）</v>
      </c>
      <c r="D315" s="6" t="str">
        <f t="shared" si="14"/>
        <v>通识基础课</v>
      </c>
      <c r="E315" s="6" t="str">
        <f>"李涛"</f>
        <v>李涛</v>
      </c>
      <c r="F315" s="6" t="str">
        <f>"岳苏"</f>
        <v>岳苏</v>
      </c>
      <c r="G315" s="6" t="str">
        <f>"223070100018"</f>
        <v>223070100018</v>
      </c>
      <c r="H315" s="7"/>
      <c r="I315" s="7"/>
    </row>
    <row r="316" ht="37.5" spans="1:9">
      <c r="A316" s="6">
        <v>314</v>
      </c>
      <c r="B316" s="6" t="s">
        <v>22</v>
      </c>
      <c r="C316" s="6" t="str">
        <f>"高等数学Ⅱ"</f>
        <v>高等数学Ⅱ</v>
      </c>
      <c r="D316" s="6" t="str">
        <f t="shared" si="14"/>
        <v>通识基础课</v>
      </c>
      <c r="E316" s="6" t="str">
        <f>"李凤英"</f>
        <v>李凤英</v>
      </c>
      <c r="F316" s="6" t="str">
        <f>"杜谦"</f>
        <v>杜谦</v>
      </c>
      <c r="G316" s="6" t="str">
        <f>"1201201Z5003"</f>
        <v>1201201Z5003</v>
      </c>
      <c r="H316" s="7"/>
      <c r="I316" s="7"/>
    </row>
    <row r="317" ht="37.5" spans="1:9">
      <c r="A317" s="6">
        <v>315</v>
      </c>
      <c r="B317" s="6" t="s">
        <v>23</v>
      </c>
      <c r="C317" s="6" t="str">
        <f>"微观经济学（英）"</f>
        <v>微观经济学（英）</v>
      </c>
      <c r="D317" s="6" t="str">
        <f>"大学科基础课"</f>
        <v>大学科基础课</v>
      </c>
      <c r="E317" s="6" t="str">
        <f>"余津嫺"</f>
        <v>余津嫺</v>
      </c>
      <c r="F317" s="6" t="str">
        <f>"李欣芮"</f>
        <v>李欣芮</v>
      </c>
      <c r="G317" s="6" t="str">
        <f>"1220201Z2001"</f>
        <v>1220201Z2001</v>
      </c>
      <c r="H317" s="7"/>
      <c r="I317" s="7"/>
    </row>
    <row r="318" ht="37.5" spans="1:9">
      <c r="A318" s="6">
        <v>316</v>
      </c>
      <c r="B318" s="6" t="s">
        <v>24</v>
      </c>
      <c r="C318" s="6" t="str">
        <f>"数理统计（理）"</f>
        <v>数理统计（理）</v>
      </c>
      <c r="D318" s="6" t="str">
        <f>"大学科基础课"</f>
        <v>大学科基础课</v>
      </c>
      <c r="E318" s="6" t="str">
        <f>"张术林"</f>
        <v>张术林</v>
      </c>
      <c r="F318" s="6" t="str">
        <f>"赵文琪"</f>
        <v>赵文琪</v>
      </c>
      <c r="G318" s="6" t="str">
        <f>"223071400018"</f>
        <v>223071400018</v>
      </c>
      <c r="H318" s="7"/>
      <c r="I318" s="7"/>
    </row>
    <row r="319" ht="37.5" spans="1:9">
      <c r="A319" s="6">
        <v>317</v>
      </c>
      <c r="B319" s="6" t="s">
        <v>24</v>
      </c>
      <c r="C319" s="6" t="str">
        <f>"国民经济统计学"</f>
        <v>国民经济统计学</v>
      </c>
      <c r="D319" s="6" t="str">
        <f>"专业必修课"</f>
        <v>专业必修课</v>
      </c>
      <c r="E319" s="6" t="str">
        <f>"陈丹丹"</f>
        <v>陈丹丹</v>
      </c>
      <c r="F319" s="6" t="str">
        <f>"杨曼路"</f>
        <v>杨曼路</v>
      </c>
      <c r="G319" s="6" t="str">
        <f>"121020204028"</f>
        <v>121020204028</v>
      </c>
      <c r="H319" s="7"/>
      <c r="I319" s="7"/>
    </row>
    <row r="320" ht="37.5" spans="1:9">
      <c r="A320" s="6">
        <v>318</v>
      </c>
      <c r="B320" s="6" t="s">
        <v>24</v>
      </c>
      <c r="C320" s="6" t="str">
        <f>"数理统计原理"</f>
        <v>数理统计原理</v>
      </c>
      <c r="D320" s="6" t="str">
        <f>"大学科基础课"</f>
        <v>大学科基础课</v>
      </c>
      <c r="E320" s="6" t="str">
        <f>"何婧"</f>
        <v>何婧</v>
      </c>
      <c r="F320" s="6" t="str">
        <f>"杜悦"</f>
        <v>杜悦</v>
      </c>
      <c r="G320" s="6" t="str">
        <f>"122071400004"</f>
        <v>122071400004</v>
      </c>
      <c r="H320" s="7"/>
      <c r="I320" s="7"/>
    </row>
    <row r="321" ht="37.5" spans="1:9">
      <c r="A321" s="6">
        <v>319</v>
      </c>
      <c r="B321" s="6" t="s">
        <v>24</v>
      </c>
      <c r="C321" s="6" t="str">
        <f>"数据结构与数值分析"</f>
        <v>数据结构与数值分析</v>
      </c>
      <c r="D321" s="6" t="str">
        <f>"专业方向课"</f>
        <v>专业方向课</v>
      </c>
      <c r="E321" s="6" t="str">
        <f>"邓蔚"</f>
        <v>邓蔚</v>
      </c>
      <c r="F321" s="6" t="str">
        <f>"敖乐靖"</f>
        <v>敖乐靖</v>
      </c>
      <c r="G321" s="6" t="str">
        <f>"121020105001"</f>
        <v>121020105001</v>
      </c>
      <c r="H321" s="7"/>
      <c r="I321" s="7"/>
    </row>
    <row r="322" ht="37.5" spans="1:9">
      <c r="A322" s="6">
        <v>320</v>
      </c>
      <c r="B322" s="6" t="s">
        <v>24</v>
      </c>
      <c r="C322" s="6" t="str">
        <f>"统计学"</f>
        <v>统计学</v>
      </c>
      <c r="D322" s="6" t="str">
        <f>"大学科基础课"</f>
        <v>大学科基础课</v>
      </c>
      <c r="E322" s="6" t="str">
        <f>"李俭富"</f>
        <v>李俭富</v>
      </c>
      <c r="F322" s="6" t="str">
        <f>"潘静珍"</f>
        <v>潘静珍</v>
      </c>
      <c r="G322" s="6" t="str">
        <f>"121020204029"</f>
        <v>121020204029</v>
      </c>
      <c r="H322" s="7"/>
      <c r="I322" s="7"/>
    </row>
    <row r="323" ht="37.5" spans="1:9">
      <c r="A323" s="6">
        <v>321</v>
      </c>
      <c r="B323" s="6" t="s">
        <v>24</v>
      </c>
      <c r="C323" s="6" t="str">
        <f>"数理统计（理）"</f>
        <v>数理统计（理）</v>
      </c>
      <c r="D323" s="6" t="str">
        <f>"大学科基础课"</f>
        <v>大学科基础课</v>
      </c>
      <c r="E323" s="6" t="str">
        <f>"马昀蓓"</f>
        <v>马昀蓓</v>
      </c>
      <c r="F323" s="6" t="str">
        <f>"王敏"</f>
        <v>王敏</v>
      </c>
      <c r="G323" s="6" t="str">
        <f>"122020208002"</f>
        <v>122020208002</v>
      </c>
      <c r="H323" s="7"/>
      <c r="I323" s="7"/>
    </row>
    <row r="324" ht="37.5" spans="1:9">
      <c r="A324" s="6">
        <v>322</v>
      </c>
      <c r="B324" s="6" t="s">
        <v>24</v>
      </c>
      <c r="C324" s="6" t="str">
        <f>"数理统计（理）"</f>
        <v>数理统计（理）</v>
      </c>
      <c r="D324" s="6" t="str">
        <f>"大学科基础课"</f>
        <v>大学科基础课</v>
      </c>
      <c r="E324" s="6" t="str">
        <f>"马昀蓓"</f>
        <v>马昀蓓</v>
      </c>
      <c r="F324" s="6" t="str">
        <f>"陈露"</f>
        <v>陈露</v>
      </c>
      <c r="G324" s="6" t="str">
        <f>"123071400001"</f>
        <v>123071400001</v>
      </c>
      <c r="H324" s="7"/>
      <c r="I324" s="7"/>
    </row>
    <row r="325" ht="37.5" spans="1:9">
      <c r="A325" s="6">
        <v>323</v>
      </c>
      <c r="B325" s="6" t="s">
        <v>24</v>
      </c>
      <c r="C325" s="6" t="str">
        <f>"数理统计（理）"</f>
        <v>数理统计（理）</v>
      </c>
      <c r="D325" s="6" t="str">
        <f>"大学科基础课"</f>
        <v>大学科基础课</v>
      </c>
      <c r="E325" s="6" t="str">
        <f>"高春燕"</f>
        <v>高春燕</v>
      </c>
      <c r="F325" s="6" t="str">
        <f>"陈凯伦"</f>
        <v>陈凯伦</v>
      </c>
      <c r="G325" s="6" t="str">
        <f>"222020208002"</f>
        <v>222020208002</v>
      </c>
      <c r="H325" s="7"/>
      <c r="I325" s="7"/>
    </row>
    <row r="326" ht="37.5" spans="1:9">
      <c r="A326" s="6">
        <v>324</v>
      </c>
      <c r="B326" s="6" t="s">
        <v>24</v>
      </c>
      <c r="C326" s="6" t="str">
        <f>"计量经济学"</f>
        <v>计量经济学</v>
      </c>
      <c r="D326" s="6" t="str">
        <f>"专业方向课"</f>
        <v>专业方向课</v>
      </c>
      <c r="E326" s="6" t="str">
        <f>"杨岚"</f>
        <v>杨岚</v>
      </c>
      <c r="F326" s="6" t="str">
        <f>"王样样"</f>
        <v>王样样</v>
      </c>
      <c r="G326" s="6" t="str">
        <f>"221020209023"</f>
        <v>221020209023</v>
      </c>
      <c r="H326" s="7"/>
      <c r="I326" s="7"/>
    </row>
    <row r="327" ht="37.5" spans="1:9">
      <c r="A327" s="6">
        <v>325</v>
      </c>
      <c r="B327" s="6" t="s">
        <v>24</v>
      </c>
      <c r="C327" s="6" t="str">
        <f>"统计学"</f>
        <v>统计学</v>
      </c>
      <c r="D327" s="6" t="str">
        <f>"大学科基础课"</f>
        <v>大学科基础课</v>
      </c>
      <c r="E327" s="6" t="str">
        <f>"黎春"</f>
        <v>黎春</v>
      </c>
      <c r="F327" s="6" t="str">
        <f>"袁晨曦"</f>
        <v>袁晨曦</v>
      </c>
      <c r="G327" s="6" t="str">
        <f>"2220202Z1020"</f>
        <v>2220202Z1020</v>
      </c>
      <c r="H327" s="7"/>
      <c r="I327" s="7"/>
    </row>
    <row r="328" ht="37.5" spans="1:9">
      <c r="A328" s="6">
        <v>326</v>
      </c>
      <c r="B328" s="6" t="s">
        <v>24</v>
      </c>
      <c r="C328" s="6" t="str">
        <f>"数理统计（理）"</f>
        <v>数理统计（理）</v>
      </c>
      <c r="D328" s="6" t="str">
        <f>"大学科基础课"</f>
        <v>大学科基础课</v>
      </c>
      <c r="E328" s="6" t="str">
        <f>"马昀蓓"</f>
        <v>马昀蓓</v>
      </c>
      <c r="F328" s="6" t="str">
        <f>"查美霞"</f>
        <v>查美霞</v>
      </c>
      <c r="G328" s="6" t="str">
        <f>"223020209016"</f>
        <v>223020209016</v>
      </c>
      <c r="H328" s="7"/>
      <c r="I328" s="7"/>
    </row>
    <row r="329" ht="37.5" spans="1:9">
      <c r="A329" s="6">
        <v>327</v>
      </c>
      <c r="B329" s="6" t="s">
        <v>24</v>
      </c>
      <c r="C329" s="6" t="str">
        <f>"机器学习与数据挖掘"</f>
        <v>机器学习与数据挖掘</v>
      </c>
      <c r="D329" s="6" t="str">
        <f>"专业方向课"</f>
        <v>专业方向课</v>
      </c>
      <c r="E329" s="6" t="str">
        <f>"周玮"</f>
        <v>周玮</v>
      </c>
      <c r="F329" s="6" t="str">
        <f>"陈泉林"</f>
        <v>陈泉林</v>
      </c>
      <c r="G329" s="6" t="str">
        <f>"223020209010"</f>
        <v>223020209010</v>
      </c>
      <c r="H329" s="7"/>
      <c r="I329" s="7"/>
    </row>
    <row r="330" ht="37.5" spans="1:9">
      <c r="A330" s="6">
        <v>328</v>
      </c>
      <c r="B330" s="6" t="s">
        <v>24</v>
      </c>
      <c r="C330" s="6" t="str">
        <f>"程序设计与科学计算"</f>
        <v>程序设计与科学计算</v>
      </c>
      <c r="D330" s="6" t="str">
        <f>"大学科基础课"</f>
        <v>大学科基础课</v>
      </c>
      <c r="E330" s="6" t="str">
        <f>"戴明伟"</f>
        <v>戴明伟</v>
      </c>
      <c r="F330" s="6" t="str">
        <f>"李玲"</f>
        <v>李玲</v>
      </c>
      <c r="G330" s="6" t="str">
        <f>"122120100004"</f>
        <v>122120100004</v>
      </c>
      <c r="H330" s="7"/>
      <c r="I330" s="7"/>
    </row>
    <row r="331" ht="37.5" spans="1:9">
      <c r="A331" s="6">
        <v>329</v>
      </c>
      <c r="B331" s="6" t="s">
        <v>24</v>
      </c>
      <c r="C331" s="6" t="str">
        <f>"数理统计（理）"</f>
        <v>数理统计（理）</v>
      </c>
      <c r="D331" s="6" t="str">
        <f>"大学科基础课"</f>
        <v>大学科基础课</v>
      </c>
      <c r="E331" s="6" t="str">
        <f>"马昀蓓"</f>
        <v>马昀蓓</v>
      </c>
      <c r="F331" s="6" t="str">
        <f>"乔娓靓"</f>
        <v>乔娓靓</v>
      </c>
      <c r="G331" s="6" t="str">
        <f>"2230202J8010"</f>
        <v>2230202J8010</v>
      </c>
      <c r="H331" s="7"/>
      <c r="I331" s="7"/>
    </row>
    <row r="332" ht="37.5" spans="1:9">
      <c r="A332" s="6">
        <v>330</v>
      </c>
      <c r="B332" s="6" t="s">
        <v>24</v>
      </c>
      <c r="C332" s="6" t="str">
        <f>"数理统计（理）"</f>
        <v>数理统计（理）</v>
      </c>
      <c r="D332" s="6" t="str">
        <f>"大学科基础课"</f>
        <v>大学科基础课</v>
      </c>
      <c r="E332" s="6" t="str">
        <f>"兰伟"</f>
        <v>兰伟</v>
      </c>
      <c r="F332" s="6" t="str">
        <f>"何星佐"</f>
        <v>何星佐</v>
      </c>
      <c r="G332" s="6" t="str">
        <f>"122020208007"</f>
        <v>122020208007</v>
      </c>
      <c r="H332" s="7"/>
      <c r="I332" s="7"/>
    </row>
    <row r="333" ht="18.75" spans="1:9">
      <c r="A333" s="6">
        <v>331</v>
      </c>
      <c r="B333" s="6" t="s">
        <v>24</v>
      </c>
      <c r="C333" s="6" t="str">
        <f>"统计学MOOC"</f>
        <v>统计学MOOC</v>
      </c>
      <c r="D333" s="6" t="str">
        <f>"慕课"</f>
        <v>慕课</v>
      </c>
      <c r="E333" s="6" t="str">
        <f>"夏怡凡"</f>
        <v>夏怡凡</v>
      </c>
      <c r="F333" s="6" t="str">
        <f>"刘国军"</f>
        <v>刘国军</v>
      </c>
      <c r="G333" s="6" t="str">
        <f>"121020208006"</f>
        <v>121020208006</v>
      </c>
      <c r="H333" s="7"/>
      <c r="I333" s="7"/>
    </row>
    <row r="334" ht="37.5" spans="1:9">
      <c r="A334" s="6">
        <v>332</v>
      </c>
      <c r="B334" s="6" t="s">
        <v>24</v>
      </c>
      <c r="C334" s="6" t="str">
        <f>"数理统计（理）"</f>
        <v>数理统计（理）</v>
      </c>
      <c r="D334" s="6" t="str">
        <f>"大学科基础课"</f>
        <v>大学科基础课</v>
      </c>
      <c r="E334" s="6" t="str">
        <f>"张术林"</f>
        <v>张术林</v>
      </c>
      <c r="F334" s="6" t="str">
        <f>"魏扬艺"</f>
        <v>魏扬艺</v>
      </c>
      <c r="G334" s="6" t="str">
        <f>"223071400017"</f>
        <v>223071400017</v>
      </c>
      <c r="H334" s="7"/>
      <c r="I334" s="7"/>
    </row>
    <row r="335" ht="37.5" spans="1:9">
      <c r="A335" s="6">
        <v>333</v>
      </c>
      <c r="B335" s="6" t="s">
        <v>24</v>
      </c>
      <c r="C335" s="6" t="str">
        <f>"数理统计（理）"</f>
        <v>数理统计（理）</v>
      </c>
      <c r="D335" s="6" t="str">
        <f>"大学科基础课"</f>
        <v>大学科基础课</v>
      </c>
      <c r="E335" s="6" t="str">
        <f>"马铁丰"</f>
        <v>马铁丰</v>
      </c>
      <c r="F335" s="6" t="str">
        <f>"熊智临"</f>
        <v>熊智临</v>
      </c>
      <c r="G335" s="6" t="str">
        <f>"121020208005"</f>
        <v>121020208005</v>
      </c>
      <c r="H335" s="7"/>
      <c r="I335" s="7"/>
    </row>
    <row r="336" ht="37.5" spans="1:9">
      <c r="A336" s="6">
        <v>334</v>
      </c>
      <c r="B336" s="6" t="s">
        <v>24</v>
      </c>
      <c r="C336" s="6" t="str">
        <f>"数理统计原理"</f>
        <v>数理统计原理</v>
      </c>
      <c r="D336" s="6" t="str">
        <f>"大学科基础课"</f>
        <v>大学科基础课</v>
      </c>
      <c r="E336" s="6" t="str">
        <f>"何婧"</f>
        <v>何婧</v>
      </c>
      <c r="F336" s="6" t="str">
        <f>"张丹宇"</f>
        <v>张丹宇</v>
      </c>
      <c r="G336" s="6" t="str">
        <f>"1230202J8002"</f>
        <v>1230202J8002</v>
      </c>
      <c r="H336" s="7"/>
      <c r="I336" s="7"/>
    </row>
    <row r="337" ht="37.5" spans="1:9">
      <c r="A337" s="6">
        <v>335</v>
      </c>
      <c r="B337" s="6" t="s">
        <v>24</v>
      </c>
      <c r="C337" s="6" t="str">
        <f>"统计学"</f>
        <v>统计学</v>
      </c>
      <c r="D337" s="6" t="str">
        <f>"大学科基础课"</f>
        <v>大学科基础课</v>
      </c>
      <c r="E337" s="6" t="str">
        <f>"何雅兴"</f>
        <v>何雅兴</v>
      </c>
      <c r="F337" s="6" t="str">
        <f>"刘奇波"</f>
        <v>刘奇波</v>
      </c>
      <c r="G337" s="6" t="str">
        <f>"120020209006"</f>
        <v>120020209006</v>
      </c>
      <c r="H337" s="7"/>
      <c r="I337" s="7"/>
    </row>
    <row r="338" ht="37.5" spans="1:9">
      <c r="A338" s="6">
        <v>336</v>
      </c>
      <c r="B338" s="6" t="s">
        <v>24</v>
      </c>
      <c r="C338" s="6" t="str">
        <f>"深度学习"</f>
        <v>深度学习</v>
      </c>
      <c r="D338" s="6" t="str">
        <f>"专业方向课"</f>
        <v>专业方向课</v>
      </c>
      <c r="E338" s="6" t="str">
        <f>"阎瑶"</f>
        <v>阎瑶</v>
      </c>
      <c r="F338" s="6" t="str">
        <f>"聂锦宇"</f>
        <v>聂锦宇</v>
      </c>
      <c r="G338" s="6" t="str">
        <f>"121071400004"</f>
        <v>121071400004</v>
      </c>
      <c r="H338" s="7"/>
      <c r="I338" s="7"/>
    </row>
    <row r="339" ht="37.5" spans="1:9">
      <c r="A339" s="6">
        <v>337</v>
      </c>
      <c r="B339" s="6" t="s">
        <v>24</v>
      </c>
      <c r="C339" s="6" t="str">
        <f>"统计学"</f>
        <v>统计学</v>
      </c>
      <c r="D339" s="6" t="str">
        <f>"大学科基础课"</f>
        <v>大学科基础课</v>
      </c>
      <c r="E339" s="6" t="str">
        <f>"李俭富"</f>
        <v>李俭富</v>
      </c>
      <c r="F339" s="6" t="str">
        <f>"张皓越"</f>
        <v>张皓越</v>
      </c>
      <c r="G339" s="6" t="str">
        <f>"121020204024"</f>
        <v>121020204024</v>
      </c>
      <c r="H339" s="7"/>
      <c r="I339" s="7"/>
    </row>
    <row r="340" ht="37.5" spans="1:9">
      <c r="A340" s="6">
        <v>338</v>
      </c>
      <c r="B340" s="6" t="s">
        <v>24</v>
      </c>
      <c r="C340" s="6" t="str">
        <f>"统计学"</f>
        <v>统计学</v>
      </c>
      <c r="D340" s="6" t="str">
        <f>"大学科基础课"</f>
        <v>大学科基础课</v>
      </c>
      <c r="E340" s="6" t="str">
        <f>"何雅兴"</f>
        <v>何雅兴</v>
      </c>
      <c r="F340" s="6" t="str">
        <f>"杨丹丹"</f>
        <v>杨丹丹</v>
      </c>
      <c r="G340" s="6" t="str">
        <f>"2220202J8010"</f>
        <v>2220202J8010</v>
      </c>
      <c r="H340" s="7"/>
      <c r="I340" s="7"/>
    </row>
    <row r="341" ht="37.5" spans="1:9">
      <c r="A341" s="6">
        <v>339</v>
      </c>
      <c r="B341" s="6" t="s">
        <v>24</v>
      </c>
      <c r="C341" s="6" t="str">
        <f>"应用多元统计分析"</f>
        <v>应用多元统计分析</v>
      </c>
      <c r="D341" s="6" t="str">
        <f>"专业必修课"</f>
        <v>专业必修课</v>
      </c>
      <c r="E341" s="6" t="str">
        <f>"夏怡凡"</f>
        <v>夏怡凡</v>
      </c>
      <c r="F341" s="6" t="str">
        <f>"吴林艳"</f>
        <v>吴林艳</v>
      </c>
      <c r="G341" s="6" t="str">
        <f>"123020208003"</f>
        <v>123020208003</v>
      </c>
      <c r="H341" s="7"/>
      <c r="I341" s="7"/>
    </row>
    <row r="342" ht="37.5" spans="1:9">
      <c r="A342" s="6">
        <v>340</v>
      </c>
      <c r="B342" s="6" t="s">
        <v>24</v>
      </c>
      <c r="C342" s="6" t="str">
        <f>"数理统计（理）"</f>
        <v>数理统计（理）</v>
      </c>
      <c r="D342" s="6" t="str">
        <f>"大学科基础课"</f>
        <v>大学科基础课</v>
      </c>
      <c r="E342" s="6" t="str">
        <f>"马铁丰"</f>
        <v>马铁丰</v>
      </c>
      <c r="F342" s="6" t="str">
        <f>"任建梅"</f>
        <v>任建梅</v>
      </c>
      <c r="G342" s="6" t="str">
        <f>"122020208005"</f>
        <v>122020208005</v>
      </c>
      <c r="H342" s="7"/>
      <c r="I342" s="7"/>
    </row>
    <row r="343" ht="37.5" spans="1:9">
      <c r="A343" s="6">
        <v>341</v>
      </c>
      <c r="B343" s="6" t="s">
        <v>24</v>
      </c>
      <c r="C343" s="6" t="str">
        <f>"数理统计（理）"</f>
        <v>数理统计（理）</v>
      </c>
      <c r="D343" s="6" t="str">
        <f>"大学科基础课"</f>
        <v>大学科基础课</v>
      </c>
      <c r="E343" s="6" t="str">
        <f>"兰伟"</f>
        <v>兰伟</v>
      </c>
      <c r="F343" s="6" t="str">
        <f>"张雅婧"</f>
        <v>张雅婧</v>
      </c>
      <c r="G343" s="6" t="str">
        <f>"222071400024"</f>
        <v>222071400024</v>
      </c>
      <c r="H343" s="7"/>
      <c r="I343" s="7"/>
    </row>
    <row r="344" ht="18.75" spans="1:9">
      <c r="A344" s="6">
        <v>342</v>
      </c>
      <c r="B344" s="6" t="s">
        <v>24</v>
      </c>
      <c r="C344" s="6" t="str">
        <f>"计量经济学MOOC"</f>
        <v>计量经济学MOOC</v>
      </c>
      <c r="D344" s="6" t="str">
        <f>"慕课"</f>
        <v>慕课</v>
      </c>
      <c r="E344" s="6" t="str">
        <f>"范国斌"</f>
        <v>范国斌</v>
      </c>
      <c r="F344" s="6" t="str">
        <f>"王丽瑛"</f>
        <v>王丽瑛</v>
      </c>
      <c r="G344" s="6" t="str">
        <f>"223020209013"</f>
        <v>223020209013</v>
      </c>
      <c r="H344" s="7"/>
      <c r="I344" s="7"/>
    </row>
    <row r="345" ht="37.5" spans="1:9">
      <c r="A345" s="6">
        <v>343</v>
      </c>
      <c r="B345" s="6" t="s">
        <v>24</v>
      </c>
      <c r="C345" s="6" t="str">
        <f>"实变函数与泛函分析"</f>
        <v>实变函数与泛函分析</v>
      </c>
      <c r="D345" s="6" t="str">
        <f>"专业必修课"</f>
        <v>专业必修课</v>
      </c>
      <c r="E345" s="6" t="str">
        <f>"张佛德"</f>
        <v>张佛德</v>
      </c>
      <c r="F345" s="6" t="str">
        <f>"王凌锐"</f>
        <v>王凌锐</v>
      </c>
      <c r="G345" s="6" t="str">
        <f>"222071400017"</f>
        <v>222071400017</v>
      </c>
      <c r="H345" s="7"/>
      <c r="I345" s="7"/>
    </row>
    <row r="346" ht="37.5" spans="1:9">
      <c r="A346" s="6">
        <v>344</v>
      </c>
      <c r="B346" s="6" t="s">
        <v>24</v>
      </c>
      <c r="C346" s="6" t="str">
        <f>"统计学"</f>
        <v>统计学</v>
      </c>
      <c r="D346" s="6" t="str">
        <f>"大学科基础课"</f>
        <v>大学科基础课</v>
      </c>
      <c r="E346" s="6" t="str">
        <f>"陈丹丹"</f>
        <v>陈丹丹</v>
      </c>
      <c r="F346" s="6" t="str">
        <f>"张其瑞"</f>
        <v>张其瑞</v>
      </c>
      <c r="G346" s="6" t="str">
        <f>"222071400016"</f>
        <v>222071400016</v>
      </c>
      <c r="H346" s="7"/>
      <c r="I346" s="7"/>
    </row>
    <row r="347" ht="37.5" spans="1:9">
      <c r="A347" s="6">
        <v>345</v>
      </c>
      <c r="B347" s="6" t="s">
        <v>24</v>
      </c>
      <c r="C347" s="6" t="str">
        <f>"统计学"</f>
        <v>统计学</v>
      </c>
      <c r="D347" s="6" t="str">
        <f>"大学科基础课"</f>
        <v>大学科基础课</v>
      </c>
      <c r="E347" s="6" t="str">
        <f>"陈丹丹"</f>
        <v>陈丹丹</v>
      </c>
      <c r="F347" s="6" t="str">
        <f>"胡林秀"</f>
        <v>胡林秀</v>
      </c>
      <c r="G347" s="6" t="str">
        <f>"120120100001"</f>
        <v>120120100001</v>
      </c>
      <c r="H347" s="7"/>
      <c r="I347" s="7"/>
    </row>
    <row r="348" ht="37.5" spans="1:9">
      <c r="A348" s="6">
        <v>346</v>
      </c>
      <c r="B348" s="6" t="s">
        <v>24</v>
      </c>
      <c r="C348" s="6" t="str">
        <f>"统计学"</f>
        <v>统计学</v>
      </c>
      <c r="D348" s="6" t="str">
        <f>"大学科基础课"</f>
        <v>大学科基础课</v>
      </c>
      <c r="E348" s="6" t="str">
        <f>"黎春"</f>
        <v>黎春</v>
      </c>
      <c r="F348" s="6" t="str">
        <f>"胡洋博"</f>
        <v>胡洋博</v>
      </c>
      <c r="G348" s="6" t="str">
        <f>"223020208014"</f>
        <v>223020208014</v>
      </c>
      <c r="H348" s="7"/>
      <c r="I348" s="7"/>
    </row>
    <row r="349" ht="37.5" spans="1:9">
      <c r="A349" s="6">
        <v>347</v>
      </c>
      <c r="B349" s="6" t="s">
        <v>24</v>
      </c>
      <c r="C349" s="6" t="str">
        <f>"数理统计（理）"</f>
        <v>数理统计（理）</v>
      </c>
      <c r="D349" s="6" t="str">
        <f>"大学科基础课"</f>
        <v>大学科基础课</v>
      </c>
      <c r="E349" s="6" t="str">
        <f>"佘睿"</f>
        <v>佘睿</v>
      </c>
      <c r="F349" s="6" t="str">
        <f>"王蛟龙"</f>
        <v>王蛟龙</v>
      </c>
      <c r="G349" s="6" t="str">
        <f>"123071400003"</f>
        <v>123071400003</v>
      </c>
      <c r="H349" s="7"/>
      <c r="I349" s="7"/>
    </row>
    <row r="350" ht="37.5" spans="1:9">
      <c r="A350" s="6">
        <v>348</v>
      </c>
      <c r="B350" s="6" t="s">
        <v>24</v>
      </c>
      <c r="C350" s="6" t="str">
        <f>"时间序列分析"</f>
        <v>时间序列分析</v>
      </c>
      <c r="D350" s="6" t="str">
        <f>"专业必修课"</f>
        <v>专业必修课</v>
      </c>
      <c r="E350" s="6" t="str">
        <f>"周凡吟"</f>
        <v>周凡吟</v>
      </c>
      <c r="F350" s="6" t="str">
        <f>"付丽君"</f>
        <v>付丽君</v>
      </c>
      <c r="G350" s="6" t="str">
        <f>"121020204008"</f>
        <v>121020204008</v>
      </c>
      <c r="H350" s="7"/>
      <c r="I350" s="7"/>
    </row>
    <row r="351" ht="37.5" spans="1:9">
      <c r="A351" s="6">
        <v>349</v>
      </c>
      <c r="B351" s="6" t="s">
        <v>24</v>
      </c>
      <c r="C351" s="6" t="str">
        <f>"数理统计（理）"</f>
        <v>数理统计（理）</v>
      </c>
      <c r="D351" s="6" t="str">
        <f>"专业必修课"</f>
        <v>专业必修课</v>
      </c>
      <c r="E351" s="6" t="str">
        <f>"戴明伟"</f>
        <v>戴明伟</v>
      </c>
      <c r="F351" s="6" t="str">
        <f>"申博延"</f>
        <v>申博延</v>
      </c>
      <c r="G351" s="6" t="str">
        <f>"122071400003"</f>
        <v>122071400003</v>
      </c>
      <c r="H351" s="7"/>
      <c r="I351" s="7"/>
    </row>
    <row r="352" ht="37.5" spans="1:9">
      <c r="A352" s="6">
        <v>350</v>
      </c>
      <c r="B352" s="6" t="s">
        <v>24</v>
      </c>
      <c r="C352" s="6" t="str">
        <f>"计量经济学"</f>
        <v>计量经济学</v>
      </c>
      <c r="D352" s="6" t="str">
        <f>"专业方向课"</f>
        <v>专业方向课</v>
      </c>
      <c r="E352" s="6" t="str">
        <f>"耿华彦"</f>
        <v>耿华彦</v>
      </c>
      <c r="F352" s="6" t="str">
        <f>"曾宇"</f>
        <v>曾宇</v>
      </c>
      <c r="G352" s="6" t="str">
        <f>"122020203007"</f>
        <v>122020203007</v>
      </c>
      <c r="H352" s="7"/>
      <c r="I352" s="7"/>
    </row>
    <row r="353" ht="37.5" spans="1:9">
      <c r="A353" s="6">
        <v>351</v>
      </c>
      <c r="B353" s="6" t="s">
        <v>24</v>
      </c>
      <c r="C353" s="6" t="str">
        <f>"数据结构与数值分析"</f>
        <v>数据结构与数值分析</v>
      </c>
      <c r="D353" s="6" t="str">
        <f>"专业方向课"</f>
        <v>专业方向课</v>
      </c>
      <c r="E353" s="6" t="str">
        <f>"邓蔚"</f>
        <v>邓蔚</v>
      </c>
      <c r="F353" s="6" t="str">
        <f>"程风"</f>
        <v>程风</v>
      </c>
      <c r="G353" s="6" t="str">
        <f>"223020208007"</f>
        <v>223020208007</v>
      </c>
      <c r="H353" s="7"/>
      <c r="I353" s="7"/>
    </row>
    <row r="354" ht="37.5" spans="1:9">
      <c r="A354" s="6">
        <v>352</v>
      </c>
      <c r="B354" s="6" t="s">
        <v>24</v>
      </c>
      <c r="C354" s="6" t="str">
        <f>"数理统计（理）"</f>
        <v>数理统计（理）</v>
      </c>
      <c r="D354" s="6" t="str">
        <f>"大学科基础课"</f>
        <v>大学科基础课</v>
      </c>
      <c r="E354" s="6" t="str">
        <f>"佘睿"</f>
        <v>佘睿</v>
      </c>
      <c r="F354" s="6" t="str">
        <f>"冯佳晗"</f>
        <v>冯佳晗</v>
      </c>
      <c r="G354" s="6" t="str">
        <f>"121020209002"</f>
        <v>121020209002</v>
      </c>
      <c r="H354" s="7"/>
      <c r="I354" s="7"/>
    </row>
    <row r="355" ht="37.5" spans="1:9">
      <c r="A355" s="6">
        <v>353</v>
      </c>
      <c r="B355" s="6" t="s">
        <v>24</v>
      </c>
      <c r="C355" s="6" t="str">
        <f>"程序设计与科学计算"</f>
        <v>程序设计与科学计算</v>
      </c>
      <c r="D355" s="6" t="str">
        <f>"大学科基础课"</f>
        <v>大学科基础课</v>
      </c>
      <c r="E355" s="6" t="str">
        <f>"戴明伟"</f>
        <v>戴明伟</v>
      </c>
      <c r="F355" s="6" t="str">
        <f>"易荷玲"</f>
        <v>易荷玲</v>
      </c>
      <c r="G355" s="6" t="str">
        <f>"121020204023"</f>
        <v>121020204023</v>
      </c>
      <c r="H355" s="7"/>
      <c r="I355" s="7"/>
    </row>
    <row r="356" ht="37.5" spans="1:9">
      <c r="A356" s="6">
        <v>354</v>
      </c>
      <c r="B356" s="6" t="s">
        <v>24</v>
      </c>
      <c r="C356" s="6" t="str">
        <f>"统计学"</f>
        <v>统计学</v>
      </c>
      <c r="D356" s="6" t="str">
        <f>"大学科基础课"</f>
        <v>大学科基础课</v>
      </c>
      <c r="E356" s="6" t="str">
        <f>"夏怡凡"</f>
        <v>夏怡凡</v>
      </c>
      <c r="F356" s="6" t="str">
        <f>"曹瑞雪"</f>
        <v>曹瑞雪</v>
      </c>
      <c r="G356" s="6" t="str">
        <f>"221020208002"</f>
        <v>221020208002</v>
      </c>
      <c r="H356" s="7"/>
      <c r="I356" s="7"/>
    </row>
    <row r="357" ht="37.5" spans="1:9">
      <c r="A357" s="6">
        <v>355</v>
      </c>
      <c r="B357" s="6" t="s">
        <v>24</v>
      </c>
      <c r="C357" s="6" t="str">
        <f>"数理统计（理）"</f>
        <v>数理统计（理）</v>
      </c>
      <c r="D357" s="6" t="str">
        <f>"通识基础课"</f>
        <v>通识基础课</v>
      </c>
      <c r="E357" s="6" t="str">
        <f>"高春燕"</f>
        <v>高春燕</v>
      </c>
      <c r="F357" s="6" t="str">
        <f>"苏昱颖"</f>
        <v>苏昱颖</v>
      </c>
      <c r="G357" s="6" t="str">
        <f>"223020208008"</f>
        <v>223020208008</v>
      </c>
      <c r="H357" s="7"/>
      <c r="I357" s="7"/>
    </row>
    <row r="358" ht="37.5" spans="1:9">
      <c r="A358" s="6">
        <v>356</v>
      </c>
      <c r="B358" s="6" t="s">
        <v>24</v>
      </c>
      <c r="C358" s="6" t="str">
        <f>"统计学"</f>
        <v>统计学</v>
      </c>
      <c r="D358" s="6" t="str">
        <f>"大学科基础课"</f>
        <v>大学科基础课</v>
      </c>
      <c r="E358" s="6" t="str">
        <f>"何雅兴"</f>
        <v>何雅兴</v>
      </c>
      <c r="F358" s="6" t="str">
        <f>"杨钰涵"</f>
        <v>杨钰涵</v>
      </c>
      <c r="G358" s="6" t="str">
        <f>"122020208008"</f>
        <v>122020208008</v>
      </c>
      <c r="H358" s="7"/>
      <c r="I358" s="7"/>
    </row>
    <row r="359" ht="37.5" spans="1:9">
      <c r="A359" s="6">
        <v>357</v>
      </c>
      <c r="B359" s="6" t="s">
        <v>24</v>
      </c>
      <c r="C359" s="6" t="str">
        <f>"计算统计"</f>
        <v>计算统计</v>
      </c>
      <c r="D359" s="6" t="str">
        <f>"大学科基础课"</f>
        <v>大学科基础课</v>
      </c>
      <c r="E359" s="6" t="str">
        <f>"郭斌"</f>
        <v>郭斌</v>
      </c>
      <c r="F359" s="6" t="str">
        <f>"王榕"</f>
        <v>王榕</v>
      </c>
      <c r="G359" s="6" t="str">
        <f>"222071400003"</f>
        <v>222071400003</v>
      </c>
      <c r="H359" s="7"/>
      <c r="I359" s="7"/>
    </row>
    <row r="360" ht="37.5" spans="1:9">
      <c r="A360" s="6">
        <v>358</v>
      </c>
      <c r="B360" s="6" t="s">
        <v>24</v>
      </c>
      <c r="C360" s="6" t="str">
        <f>"数理统计（理）"</f>
        <v>数理统计（理）</v>
      </c>
      <c r="D360" s="6" t="str">
        <f>"大学科基础课"</f>
        <v>大学科基础课</v>
      </c>
      <c r="E360" s="6" t="str">
        <f>"马昀蓓"</f>
        <v>马昀蓓</v>
      </c>
      <c r="F360" s="6" t="str">
        <f>"刘娜"</f>
        <v>刘娜</v>
      </c>
      <c r="G360" s="6" t="str">
        <f>"223020209017"</f>
        <v>223020209017</v>
      </c>
      <c r="H360" s="7"/>
      <c r="I360" s="7"/>
    </row>
    <row r="361" ht="37.5" spans="1:9">
      <c r="A361" s="6">
        <v>359</v>
      </c>
      <c r="B361" s="6" t="s">
        <v>24</v>
      </c>
      <c r="C361" s="6" t="str">
        <f>"数理统计（理）"</f>
        <v>数理统计（理）</v>
      </c>
      <c r="D361" s="6" t="str">
        <f>"大学科基础课"</f>
        <v>大学科基础课</v>
      </c>
      <c r="E361" s="6" t="str">
        <f>"马昀蓓"</f>
        <v>马昀蓓</v>
      </c>
      <c r="F361" s="6" t="str">
        <f>"江自豪"</f>
        <v>江自豪</v>
      </c>
      <c r="G361" s="6" t="str">
        <f>"122071400006"</f>
        <v>122071400006</v>
      </c>
      <c r="H361" s="7"/>
      <c r="I361" s="7"/>
    </row>
    <row r="362" ht="37.5" spans="1:9">
      <c r="A362" s="6">
        <v>360</v>
      </c>
      <c r="B362" s="6" t="s">
        <v>24</v>
      </c>
      <c r="C362" s="6" t="str">
        <f>"机器学习与数据挖掘"</f>
        <v>机器学习与数据挖掘</v>
      </c>
      <c r="D362" s="6" t="str">
        <f>"专业方向课"</f>
        <v>专业方向课</v>
      </c>
      <c r="E362" s="6" t="str">
        <f>"成青"</f>
        <v>成青</v>
      </c>
      <c r="F362" s="6" t="str">
        <f>"宋贺轩"</f>
        <v>宋贺轩</v>
      </c>
      <c r="G362" s="6" t="str">
        <f>"2220202J8001"</f>
        <v>2220202J8001</v>
      </c>
      <c r="H362" s="7"/>
      <c r="I362" s="7"/>
    </row>
    <row r="363" ht="37.5" spans="1:9">
      <c r="A363" s="6">
        <v>361</v>
      </c>
      <c r="B363" s="6" t="s">
        <v>25</v>
      </c>
      <c r="C363" s="6" t="str">
        <f>"国际支付与结算（英）MOOC"</f>
        <v>国际支付与结算（英）MOOC</v>
      </c>
      <c r="D363" s="6" t="str">
        <f>"慕课"</f>
        <v>慕课</v>
      </c>
      <c r="E363" s="6" t="str">
        <f>"傅泳"</f>
        <v>傅泳</v>
      </c>
      <c r="F363" s="6" t="str">
        <f>"黄晋波"</f>
        <v>黄晋波</v>
      </c>
      <c r="G363" s="6" t="str">
        <f>"2220502Z1005"</f>
        <v>2220502Z1005</v>
      </c>
      <c r="H363" s="7"/>
      <c r="I363" s="7"/>
    </row>
    <row r="364" ht="37.5" spans="1:9">
      <c r="A364" s="6">
        <v>362</v>
      </c>
      <c r="B364" s="6" t="s">
        <v>25</v>
      </c>
      <c r="C364" s="6" t="str">
        <f>"商务英语-案例篇MOOC"</f>
        <v>商务英语-案例篇MOOC</v>
      </c>
      <c r="D364" s="6" t="str">
        <f>"慕课"</f>
        <v>慕课</v>
      </c>
      <c r="E364" s="6" t="str">
        <f>"谢娟"</f>
        <v>谢娟</v>
      </c>
      <c r="F364" s="6" t="str">
        <f>"杨茜"</f>
        <v>杨茜</v>
      </c>
      <c r="G364" s="6" t="str">
        <f>"222050211001"</f>
        <v>222050211001</v>
      </c>
      <c r="H364" s="7"/>
      <c r="I364" s="7"/>
    </row>
    <row r="365" ht="56.25" spans="1:9">
      <c r="A365" s="6">
        <v>363</v>
      </c>
      <c r="B365" s="6" t="s">
        <v>26</v>
      </c>
      <c r="C365" s="6" t="str">
        <f>"大学生职业生涯规划与创业基础"</f>
        <v>大学生职业生涯规划与创业基础</v>
      </c>
      <c r="D365" s="6" t="str">
        <f>"通识基础课"</f>
        <v>通识基础课</v>
      </c>
      <c r="E365" s="6" t="str">
        <f>"邹涛"</f>
        <v>邹涛</v>
      </c>
      <c r="F365" s="6" t="str">
        <f>"李海天"</f>
        <v>李海天</v>
      </c>
      <c r="G365" s="6" t="str">
        <f>"222020106003"</f>
        <v>222020106003</v>
      </c>
      <c r="H365" s="7"/>
      <c r="I365" s="7"/>
    </row>
    <row r="366" ht="56.25" spans="1:9">
      <c r="A366" s="6">
        <v>364</v>
      </c>
      <c r="B366" s="6" t="s">
        <v>26</v>
      </c>
      <c r="C366" s="6" t="str">
        <f>"大学生职业生涯规划与创业基础"</f>
        <v>大学生职业生涯规划与创业基础</v>
      </c>
      <c r="D366" s="6" t="str">
        <f>"通识基础课"</f>
        <v>通识基础课</v>
      </c>
      <c r="E366" s="6" t="str">
        <f>"邹涛"</f>
        <v>邹涛</v>
      </c>
      <c r="F366" s="6" t="str">
        <f>"彭华玉婷"</f>
        <v>彭华玉婷</v>
      </c>
      <c r="G366" s="6" t="str">
        <f>"122120202002"</f>
        <v>122120202002</v>
      </c>
      <c r="H366" s="7"/>
      <c r="I366" s="7"/>
    </row>
    <row r="367" ht="37.5" spans="1:9">
      <c r="A367" s="6">
        <v>365</v>
      </c>
      <c r="B367" s="6" t="s">
        <v>15</v>
      </c>
      <c r="C367" s="6" t="s">
        <v>27</v>
      </c>
      <c r="D367" s="6" t="s">
        <v>28</v>
      </c>
      <c r="E367" s="6" t="s">
        <v>29</v>
      </c>
      <c r="F367" s="6" t="s">
        <v>30</v>
      </c>
      <c r="G367" s="6" t="s">
        <v>31</v>
      </c>
      <c r="H367" s="7"/>
      <c r="I367" s="7"/>
    </row>
    <row r="368" ht="37.5" spans="1:9">
      <c r="A368" s="6">
        <v>366</v>
      </c>
      <c r="B368" s="6" t="s">
        <v>12</v>
      </c>
      <c r="C368" s="6" t="s">
        <v>32</v>
      </c>
      <c r="D368" s="6" t="s">
        <v>33</v>
      </c>
      <c r="E368" s="6" t="s">
        <v>34</v>
      </c>
      <c r="F368" s="6" t="s">
        <v>35</v>
      </c>
      <c r="G368" s="6" t="s">
        <v>36</v>
      </c>
      <c r="H368" s="7"/>
      <c r="I368" s="7"/>
    </row>
    <row r="369" ht="37.5" spans="1:9">
      <c r="A369" s="6">
        <v>367</v>
      </c>
      <c r="B369" s="6" t="s">
        <v>12</v>
      </c>
      <c r="C369" s="6" t="s">
        <v>32</v>
      </c>
      <c r="D369" s="6" t="s">
        <v>33</v>
      </c>
      <c r="E369" s="6" t="s">
        <v>34</v>
      </c>
      <c r="F369" s="6" t="s">
        <v>37</v>
      </c>
      <c r="G369" s="6" t="s">
        <v>38</v>
      </c>
      <c r="H369" s="7"/>
      <c r="I369" s="7"/>
    </row>
    <row r="370" ht="37.5" spans="1:9">
      <c r="A370" s="6">
        <v>368</v>
      </c>
      <c r="B370" s="6" t="s">
        <v>23</v>
      </c>
      <c r="C370" s="6" t="s">
        <v>39</v>
      </c>
      <c r="D370" s="6" t="s">
        <v>33</v>
      </c>
      <c r="E370" s="6" t="s">
        <v>40</v>
      </c>
      <c r="F370" s="6" t="s">
        <v>41</v>
      </c>
      <c r="G370" s="6" t="s">
        <v>42</v>
      </c>
      <c r="H370" s="7"/>
      <c r="I370" s="7"/>
    </row>
    <row r="371" ht="37.5" spans="1:9">
      <c r="A371" s="6">
        <v>369</v>
      </c>
      <c r="B371" s="6" t="s">
        <v>13</v>
      </c>
      <c r="C371" s="6" t="s">
        <v>43</v>
      </c>
      <c r="D371" s="6" t="s">
        <v>44</v>
      </c>
      <c r="E371" s="6" t="s">
        <v>45</v>
      </c>
      <c r="F371" s="6" t="s">
        <v>46</v>
      </c>
      <c r="G371" s="6" t="s">
        <v>47</v>
      </c>
      <c r="H371" s="7"/>
      <c r="I371" s="7"/>
    </row>
    <row r="372" ht="37.5" spans="1:9">
      <c r="A372" s="6">
        <v>370</v>
      </c>
      <c r="B372" s="6" t="s">
        <v>16</v>
      </c>
      <c r="C372" s="6" t="s">
        <v>48</v>
      </c>
      <c r="D372" s="6" t="s">
        <v>49</v>
      </c>
      <c r="E372" s="6" t="s">
        <v>50</v>
      </c>
      <c r="F372" s="6" t="s">
        <v>51</v>
      </c>
      <c r="G372" s="6" t="s">
        <v>52</v>
      </c>
      <c r="H372" s="7"/>
      <c r="I372" s="7"/>
    </row>
  </sheetData>
  <autoFilter ref="A1:I372">
    <extLst/>
  </autoFilter>
  <mergeCells count="1">
    <mergeCell ref="A1:I1"/>
  </mergeCells>
  <dataValidations count="1">
    <dataValidation type="list" allowBlank="1" showInputMessage="1" showErrorMessage="1" sqref="H2:I2">
      <formula1>"优秀,良好,合格,不合格"</formula1>
    </dataValidation>
  </dataValidation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myexcel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刘振东</cp:lastModifiedBy>
  <dcterms:created xsi:type="dcterms:W3CDTF">2024-01-24T08:39:00Z</dcterms:created>
  <dcterms:modified xsi:type="dcterms:W3CDTF">2024-04-09T03:23:39Z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70C7579C633840E2959FC666B38A846F</vt:lpwstr>
  </property>
</Properties>
</file>