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rdeliag/Desktop/"/>
    </mc:Choice>
  </mc:AlternateContent>
  <xr:revisionPtr revIDLastSave="0" documentId="8_{D2212AD2-4227-6540-85D7-D6D666B42066}" xr6:coauthVersionLast="47" xr6:coauthVersionMax="47" xr10:uidLastSave="{00000000-0000-0000-0000-000000000000}"/>
  <bookViews>
    <workbookView xWindow="0" yWindow="0" windowWidth="28800" windowHeight="18000" xr2:uid="{11C12BB3-3F43-0344-9A0C-0914AB078CD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<sst xmlns="http://schemas.openxmlformats.org/spreadsheetml/2006/main" count="291" uniqueCount="24">
  <si>
    <t>附件1：2022-2023-2学期本科课程教学助理试用期考核表</t>
    <phoneticPr fontId="3" type="noConversion"/>
  </si>
  <si>
    <t>开课单位（盖章）</t>
    <phoneticPr fontId="3" type="noConversion"/>
  </si>
  <si>
    <t>序号</t>
  </si>
  <si>
    <t>学院</t>
  </si>
  <si>
    <t>课程名称</t>
  </si>
  <si>
    <t>课程类型</t>
  </si>
  <si>
    <t>老师姓名</t>
  </si>
  <si>
    <t>助理姓名</t>
  </si>
  <si>
    <t>助理学号</t>
  </si>
  <si>
    <t>教师评价结果</t>
    <phoneticPr fontId="6" type="noConversion"/>
  </si>
  <si>
    <t>学院评价结果</t>
    <phoneticPr fontId="6" type="noConversion"/>
  </si>
  <si>
    <t>财政税务学院</t>
  </si>
  <si>
    <t>工商管理学院</t>
  </si>
  <si>
    <t>管理科学与工程学院</t>
    <phoneticPr fontId="6" type="noConversion"/>
  </si>
  <si>
    <t>管理科学与工程学院</t>
  </si>
  <si>
    <t>国际商学院</t>
  </si>
  <si>
    <t>会计学院</t>
  </si>
  <si>
    <t>金融学院、中国金融研究院</t>
    <phoneticPr fontId="6" type="noConversion"/>
  </si>
  <si>
    <t>经济学院</t>
  </si>
  <si>
    <t>经济与管理研究院</t>
  </si>
  <si>
    <t>马克思主义学院</t>
  </si>
  <si>
    <t>数学学院</t>
  </si>
  <si>
    <t>统计学院</t>
  </si>
  <si>
    <t>外国语学院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</si>
</sst>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4"/>
      <charset val="134"/>
    </font>
    <font>
      <sz val="11"/>
      <color theme="1"/>
      <name val="宋体"/>
      <family val="3"/>
      <charset val="134"/>
    </font>
    <font>
      <sz val="10"/>
      <color theme="1"/>
      <name val="Arial Unicode MS"/>
      <family val="2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B37B-13DC-8B45-8464-32EB767DE6C0}">
  <dimension ref="A1:I283"/>
  <sheetViews>
    <sheetView tabSelected="1" topLeftCell="A274" workbookViewId="0">
      <selection activeCell="A2" sqref="A2:I2"/>
    </sheetView>
  </sheetViews>
  <sheetFormatPr baseColWidth="10" defaultRowHeight="16"/>
  <cols>
    <col min="2" max="2" width="23.33203125" customWidth="1"/>
    <col min="3" max="3" width="21.33203125" customWidth="1"/>
    <col min="4" max="4" width="12.83203125" customWidth="1"/>
    <col min="7" max="7" width="21.6640625" customWidth="1"/>
  </cols>
  <sheetData>
    <row r="1" spans="1:9" ht="1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 ht="17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ht="34">
      <c r="A4" s="2">
        <v>1</v>
      </c>
      <c r="B4" s="3" t="s">
        <v>11</v>
      </c>
      <c r="C4" s="3" t="str">
        <f>"政府会计学MOOC"</f>
        <v>政府会计学MOOC</v>
      </c>
      <c r="D4" s="3" t="str">
        <f>"慕课"</f>
        <v>慕课</v>
      </c>
      <c r="E4" s="3" t="str">
        <f>"周克清"</f>
        <v>周克清</v>
      </c>
      <c r="F4" s="3" t="str">
        <f>"吴近平"</f>
        <v>吴近平</v>
      </c>
      <c r="G4" s="3" t="str">
        <f>"121020203007"</f>
        <v>121020203007</v>
      </c>
      <c r="H4" s="4"/>
      <c r="I4" s="5"/>
    </row>
    <row r="5" spans="1:9" ht="34">
      <c r="A5" s="2">
        <v>2</v>
      </c>
      <c r="B5" s="3" t="s">
        <v>11</v>
      </c>
      <c r="C5" s="3" t="str">
        <f>"中级微观经济学"</f>
        <v>中级微观经济学</v>
      </c>
      <c r="D5" s="3" t="str">
        <f>"专业方向课"</f>
        <v>专业方向课</v>
      </c>
      <c r="E5" s="3" t="str">
        <f>"黄策"</f>
        <v>黄策</v>
      </c>
      <c r="F5" s="3" t="str">
        <f>"张恬"</f>
        <v>张恬</v>
      </c>
      <c r="G5" s="3" t="str">
        <f>"121020104012"</f>
        <v>121020104012</v>
      </c>
      <c r="H5" s="4"/>
      <c r="I5" s="5"/>
    </row>
    <row r="6" spans="1:9" ht="34">
      <c r="A6" s="2">
        <v>3</v>
      </c>
      <c r="B6" s="3" t="s">
        <v>11</v>
      </c>
      <c r="C6" s="3" t="str">
        <f>"国家税收MOOC"</f>
        <v>国家税收MOOC</v>
      </c>
      <c r="D6" s="3" t="str">
        <f>"慕课"</f>
        <v>慕课</v>
      </c>
      <c r="E6" s="3" t="str">
        <f>"郝晓薇"</f>
        <v>郝晓薇</v>
      </c>
      <c r="F6" s="3" t="str">
        <f>"孙玉茹"</f>
        <v>孙玉茹</v>
      </c>
      <c r="G6" s="3" t="str">
        <f>"2210202Z6017"</f>
        <v>2210202Z6017</v>
      </c>
      <c r="H6" s="4"/>
      <c r="I6" s="5"/>
    </row>
    <row r="7" spans="1:9" ht="34">
      <c r="A7" s="2">
        <v>4</v>
      </c>
      <c r="B7" s="3" t="s">
        <v>11</v>
      </c>
      <c r="C7" s="3" t="str">
        <f>"税法MOOC"</f>
        <v>税法MOOC</v>
      </c>
      <c r="D7" s="3" t="str">
        <f>"慕课"</f>
        <v>慕课</v>
      </c>
      <c r="E7" s="3" t="str">
        <f>"吕敏"</f>
        <v>吕敏</v>
      </c>
      <c r="F7" s="3" t="str">
        <f>"秦晓梅"</f>
        <v>秦晓梅</v>
      </c>
      <c r="G7" s="3" t="str">
        <f>"221020203005"</f>
        <v>221020203005</v>
      </c>
      <c r="H7" s="4"/>
      <c r="I7" s="5"/>
    </row>
    <row r="8" spans="1:9" ht="34">
      <c r="A8" s="2">
        <v>5</v>
      </c>
      <c r="B8" s="3" t="s">
        <v>11</v>
      </c>
      <c r="C8" s="3" t="str">
        <f>"财政学MOOC"</f>
        <v>财政学MOOC</v>
      </c>
      <c r="D8" s="3" t="str">
        <f>"慕课"</f>
        <v>慕课</v>
      </c>
      <c r="E8" s="3" t="str">
        <f>"周克清"</f>
        <v>周克清</v>
      </c>
      <c r="F8" s="3" t="str">
        <f>"化汝婷"</f>
        <v>化汝婷</v>
      </c>
      <c r="G8" s="3" t="str">
        <f>"120020203006"</f>
        <v>120020203006</v>
      </c>
      <c r="H8" s="4"/>
      <c r="I8" s="5"/>
    </row>
    <row r="9" spans="1:9" ht="34">
      <c r="A9" s="2">
        <v>6</v>
      </c>
      <c r="B9" s="3" t="s">
        <v>11</v>
      </c>
      <c r="C9" s="3" t="str">
        <f>"中级微观经济学"</f>
        <v>中级微观经济学</v>
      </c>
      <c r="D9" s="3" t="str">
        <f>"专业方向课"</f>
        <v>专业方向课</v>
      </c>
      <c r="E9" s="3" t="str">
        <f>"黄策"</f>
        <v>黄策</v>
      </c>
      <c r="F9" s="3" t="str">
        <f>"高原"</f>
        <v>高原</v>
      </c>
      <c r="G9" s="3" t="str">
        <f>"221020203015"</f>
        <v>221020203015</v>
      </c>
      <c r="H9" s="4"/>
      <c r="I9" s="5"/>
    </row>
    <row r="10" spans="1:9" ht="34">
      <c r="A10" s="2">
        <v>7</v>
      </c>
      <c r="B10" s="3" t="s">
        <v>12</v>
      </c>
      <c r="C10" s="3" t="str">
        <f>"管理学原理（英）"</f>
        <v>管理学原理（英）</v>
      </c>
      <c r="D10" s="3" t="str">
        <f t="shared" ref="D10:D16" si="0">"大学科基础课"</f>
        <v>大学科基础课</v>
      </c>
      <c r="E10" s="3" t="str">
        <f>"唐明凤"</f>
        <v>唐明凤</v>
      </c>
      <c r="F10" s="3" t="str">
        <f>"包玉香"</f>
        <v>包玉香</v>
      </c>
      <c r="G10" s="3" t="str">
        <f>"222120202003"</f>
        <v>222120202003</v>
      </c>
      <c r="H10" s="4"/>
      <c r="I10" s="5"/>
    </row>
    <row r="11" spans="1:9" ht="34">
      <c r="A11" s="2">
        <v>8</v>
      </c>
      <c r="B11" s="3" t="s">
        <v>12</v>
      </c>
      <c r="C11" s="3" t="str">
        <f>"微观经济学"</f>
        <v>微观经济学</v>
      </c>
      <c r="D11" s="3" t="str">
        <f t="shared" si="0"/>
        <v>大学科基础课</v>
      </c>
      <c r="E11" s="3" t="str">
        <f>"袁鹏"</f>
        <v>袁鹏</v>
      </c>
      <c r="F11" s="3" t="str">
        <f>"姜功熊"</f>
        <v>姜功熊</v>
      </c>
      <c r="G11" s="3" t="str">
        <f>"120020205001"</f>
        <v>120020205001</v>
      </c>
      <c r="H11" s="4"/>
      <c r="I11" s="5"/>
    </row>
    <row r="12" spans="1:9" ht="34">
      <c r="A12" s="2">
        <v>9</v>
      </c>
      <c r="B12" s="3" t="s">
        <v>12</v>
      </c>
      <c r="C12" s="3" t="str">
        <f>"微观经济学"</f>
        <v>微观经济学</v>
      </c>
      <c r="D12" s="3" t="str">
        <f t="shared" si="0"/>
        <v>大学科基础课</v>
      </c>
      <c r="E12" s="3" t="str">
        <f>"郭小琳"</f>
        <v>郭小琳</v>
      </c>
      <c r="F12" s="3" t="str">
        <f>"唐雅雯"</f>
        <v>唐雅雯</v>
      </c>
      <c r="G12" s="3" t="str">
        <f>"2200202Z2036"</f>
        <v>2200202Z2036</v>
      </c>
      <c r="H12" s="4"/>
      <c r="I12" s="5"/>
    </row>
    <row r="13" spans="1:9" ht="34">
      <c r="A13" s="2">
        <v>10</v>
      </c>
      <c r="B13" s="3" t="s">
        <v>12</v>
      </c>
      <c r="C13" s="3" t="str">
        <f>"微观经济学（英）"</f>
        <v>微观经济学（英）</v>
      </c>
      <c r="D13" s="3" t="str">
        <f t="shared" si="0"/>
        <v>大学科基础课</v>
      </c>
      <c r="E13" s="3" t="str">
        <f>"余津嫺"</f>
        <v>余津嫺</v>
      </c>
      <c r="F13" s="3" t="str">
        <f>"田娇"</f>
        <v>田娇</v>
      </c>
      <c r="G13" s="3" t="str">
        <f>"2210201Z2001"</f>
        <v>2210201Z2001</v>
      </c>
      <c r="H13" s="4"/>
      <c r="I13" s="5"/>
    </row>
    <row r="14" spans="1:9" ht="34">
      <c r="A14" s="2">
        <v>11</v>
      </c>
      <c r="B14" s="3" t="s">
        <v>12</v>
      </c>
      <c r="C14" s="3" t="str">
        <f>"微观经济学（英）"</f>
        <v>微观经济学（英）</v>
      </c>
      <c r="D14" s="3" t="str">
        <f t="shared" si="0"/>
        <v>大学科基础课</v>
      </c>
      <c r="E14" s="3" t="str">
        <f>"董大鑫"</f>
        <v>董大鑫</v>
      </c>
      <c r="F14" s="3" t="str">
        <f>"李钰琪"</f>
        <v>李钰琪</v>
      </c>
      <c r="G14" s="3" t="str">
        <f>"220020204059"</f>
        <v>220020204059</v>
      </c>
      <c r="H14" s="4"/>
      <c r="I14" s="5"/>
    </row>
    <row r="15" spans="1:9" ht="34">
      <c r="A15" s="2">
        <v>12</v>
      </c>
      <c r="B15" s="3" t="s">
        <v>12</v>
      </c>
      <c r="C15" s="3" t="str">
        <f>"微观经济学（英）"</f>
        <v>微观经济学（英）</v>
      </c>
      <c r="D15" s="3" t="str">
        <f t="shared" si="0"/>
        <v>大学科基础课</v>
      </c>
      <c r="E15" s="3" t="str">
        <f>"丁玉莲"</f>
        <v>丁玉莲</v>
      </c>
      <c r="F15" s="3" t="str">
        <f>"杨越"</f>
        <v>杨越</v>
      </c>
      <c r="G15" s="3" t="str">
        <f>"121020205002"</f>
        <v>121020205002</v>
      </c>
      <c r="H15" s="4"/>
      <c r="I15" s="5"/>
    </row>
    <row r="16" spans="1:9" ht="34">
      <c r="A16" s="2">
        <v>13</v>
      </c>
      <c r="B16" s="3" t="s">
        <v>12</v>
      </c>
      <c r="C16" s="3" t="str">
        <f>"微观经济学（英）"</f>
        <v>微观经济学（英）</v>
      </c>
      <c r="D16" s="3" t="str">
        <f t="shared" si="0"/>
        <v>大学科基础课</v>
      </c>
      <c r="E16" s="3" t="str">
        <f>"董大鑫"</f>
        <v>董大鑫</v>
      </c>
      <c r="F16" s="3" t="str">
        <f>"李溪铭"</f>
        <v>李溪铭</v>
      </c>
      <c r="G16" s="3" t="str">
        <f>"121020202001"</f>
        <v>121020202001</v>
      </c>
      <c r="H16" s="4"/>
      <c r="I16" s="5"/>
    </row>
    <row r="17" spans="1:9" ht="34">
      <c r="A17" s="2">
        <v>14</v>
      </c>
      <c r="B17" s="3" t="s">
        <v>12</v>
      </c>
      <c r="C17" s="3" t="str">
        <f>"市场营销学MOOC"</f>
        <v>市场营销学MOOC</v>
      </c>
      <c r="D17" s="3" t="str">
        <f>"慕课"</f>
        <v>慕课</v>
      </c>
      <c r="E17" s="3" t="str">
        <f>"白璇"</f>
        <v>白璇</v>
      </c>
      <c r="F17" s="3" t="str">
        <f>"袁川鸿"</f>
        <v>袁川鸿</v>
      </c>
      <c r="G17" s="3" t="str">
        <f>"1221202Z5001"</f>
        <v>1221202Z5001</v>
      </c>
      <c r="H17" s="4"/>
      <c r="I17" s="5"/>
    </row>
    <row r="18" spans="1:9" ht="34">
      <c r="A18" s="2">
        <v>15</v>
      </c>
      <c r="B18" s="3" t="s">
        <v>12</v>
      </c>
      <c r="C18" s="3" t="str">
        <f>"绩效与薪酬管理MOOC"</f>
        <v>绩效与薪酬管理MOOC</v>
      </c>
      <c r="D18" s="3" t="str">
        <f>"慕课"</f>
        <v>慕课</v>
      </c>
      <c r="E18" s="3" t="str">
        <f>"郭志刚"</f>
        <v>郭志刚</v>
      </c>
      <c r="F18" s="3" t="str">
        <f>"赵若辰"</f>
        <v>赵若辰</v>
      </c>
      <c r="G18" s="3" t="str">
        <f>"2221202Z2010"</f>
        <v>2221202Z2010</v>
      </c>
      <c r="H18" s="4"/>
      <c r="I18" s="5"/>
    </row>
    <row r="19" spans="1:9" ht="34">
      <c r="A19" s="2">
        <v>16</v>
      </c>
      <c r="B19" s="3" t="s">
        <v>12</v>
      </c>
      <c r="C19" s="3" t="str">
        <f>"微观经济学"</f>
        <v>微观经济学</v>
      </c>
      <c r="D19" s="3" t="str">
        <f>"大学科基础课"</f>
        <v>大学科基础课</v>
      </c>
      <c r="E19" s="3" t="str">
        <f>"蒋玉"</f>
        <v>蒋玉</v>
      </c>
      <c r="F19" s="3" t="str">
        <f>"韦舒妮"</f>
        <v>韦舒妮</v>
      </c>
      <c r="G19" s="3" t="str">
        <f>"219020205010"</f>
        <v>219020205010</v>
      </c>
      <c r="H19" s="4"/>
      <c r="I19" s="5"/>
    </row>
    <row r="20" spans="1:9" ht="34">
      <c r="A20" s="2">
        <v>17</v>
      </c>
      <c r="B20" s="3" t="s">
        <v>12</v>
      </c>
      <c r="C20" s="3" t="str">
        <f>"微观经济学（英）"</f>
        <v>微观经济学（英）</v>
      </c>
      <c r="D20" s="3" t="str">
        <f>"大学科基础课"</f>
        <v>大学科基础课</v>
      </c>
      <c r="E20" s="3" t="str">
        <f>"余津嫺"</f>
        <v>余津嫺</v>
      </c>
      <c r="F20" s="3" t="str">
        <f>"李欣芮"</f>
        <v>李欣芮</v>
      </c>
      <c r="G20" s="3" t="str">
        <f>"1220201Z2001"</f>
        <v>1220201Z2001</v>
      </c>
      <c r="H20" s="4"/>
      <c r="I20" s="5"/>
    </row>
    <row r="21" spans="1:9" ht="34">
      <c r="A21" s="2">
        <v>18</v>
      </c>
      <c r="B21" s="3" t="s">
        <v>12</v>
      </c>
      <c r="C21" s="3" t="str">
        <f>"微观经济学（英）"</f>
        <v>微观经济学（英）</v>
      </c>
      <c r="D21" s="3" t="str">
        <f>"大学科基础课"</f>
        <v>大学科基础课</v>
      </c>
      <c r="E21" s="3" t="str">
        <f>"刘忠"</f>
        <v>刘忠</v>
      </c>
      <c r="F21" s="3" t="str">
        <f>"王小青"</f>
        <v>王小青</v>
      </c>
      <c r="G21" s="3" t="str">
        <f>"121020205004"</f>
        <v>121020205004</v>
      </c>
      <c r="H21" s="4"/>
      <c r="I21" s="5"/>
    </row>
    <row r="22" spans="1:9" ht="34">
      <c r="A22" s="2">
        <v>19</v>
      </c>
      <c r="B22" s="3" t="s">
        <v>12</v>
      </c>
      <c r="C22" s="3" t="str">
        <f>"微观经济学"</f>
        <v>微观经济学</v>
      </c>
      <c r="D22" s="3" t="str">
        <f>"大学科基础课"</f>
        <v>大学科基础课</v>
      </c>
      <c r="E22" s="3" t="str">
        <f>"秦志龙"</f>
        <v>秦志龙</v>
      </c>
      <c r="F22" s="3" t="str">
        <f>"冉珈瑄"</f>
        <v>冉珈瑄</v>
      </c>
      <c r="G22" s="3" t="str">
        <f>"221020106003"</f>
        <v>221020106003</v>
      </c>
      <c r="H22" s="4"/>
      <c r="I22" s="5"/>
    </row>
    <row r="23" spans="1:9" ht="34">
      <c r="A23" s="2">
        <v>20</v>
      </c>
      <c r="B23" s="3" t="s">
        <v>12</v>
      </c>
      <c r="C23" s="3" t="str">
        <f>"创业管理MOOC"</f>
        <v>创业管理MOOC</v>
      </c>
      <c r="D23" s="3" t="str">
        <f>"慕课"</f>
        <v>慕课</v>
      </c>
      <c r="E23" s="3" t="str">
        <f>"徐宏玲"</f>
        <v>徐宏玲</v>
      </c>
      <c r="F23" s="3" t="str">
        <f>"唐伟宏"</f>
        <v>唐伟宏</v>
      </c>
      <c r="G23" s="3" t="str">
        <f>"222120202002"</f>
        <v>222120202002</v>
      </c>
      <c r="H23" s="4"/>
      <c r="I23" s="5"/>
    </row>
    <row r="24" spans="1:9" ht="34">
      <c r="A24" s="2">
        <v>21</v>
      </c>
      <c r="B24" s="3" t="s">
        <v>12</v>
      </c>
      <c r="C24" s="3" t="str">
        <f>"微观经济学（英）"</f>
        <v>微观经济学（英）</v>
      </c>
      <c r="D24" s="3" t="str">
        <f>"大学科基础课"</f>
        <v>大学科基础课</v>
      </c>
      <c r="E24" s="3" t="str">
        <f>"丁玉莲"</f>
        <v>丁玉莲</v>
      </c>
      <c r="F24" s="3" t="str">
        <f>"孙阳阳"</f>
        <v>孙阳阳</v>
      </c>
      <c r="G24" s="3" t="str">
        <f>"119020205001"</f>
        <v>119020205001</v>
      </c>
      <c r="H24" s="4"/>
      <c r="I24" s="5"/>
    </row>
    <row r="25" spans="1:9" ht="34">
      <c r="A25" s="2">
        <v>22</v>
      </c>
      <c r="B25" s="3" t="s">
        <v>12</v>
      </c>
      <c r="C25" s="3" t="str">
        <f>"管理学原理"</f>
        <v>管理学原理</v>
      </c>
      <c r="D25" s="3" t="str">
        <f>"大学科基础课"</f>
        <v>大学科基础课</v>
      </c>
      <c r="E25" s="3" t="str">
        <f>"陈桓亘"</f>
        <v>陈桓亘</v>
      </c>
      <c r="F25" s="3" t="str">
        <f>"李晓天"</f>
        <v>李晓天</v>
      </c>
      <c r="G25" s="3" t="str">
        <f>"222120202021"</f>
        <v>222120202021</v>
      </c>
      <c r="H25" s="4"/>
      <c r="I25" s="5"/>
    </row>
    <row r="26" spans="1:9" ht="51">
      <c r="A26" s="2">
        <v>23</v>
      </c>
      <c r="B26" s="3" t="s">
        <v>13</v>
      </c>
      <c r="C26" s="3" t="str">
        <f>"数据分析（Python）（英）"</f>
        <v>数据分析（Python）（英）</v>
      </c>
      <c r="D26" s="3" t="str">
        <f>"专业方向课"</f>
        <v>专业方向课</v>
      </c>
      <c r="E26" s="3" t="str">
        <f>"王俊"</f>
        <v>王俊</v>
      </c>
      <c r="F26" s="3" t="str">
        <f>"胡长宇"</f>
        <v>胡长宇</v>
      </c>
      <c r="G26" s="3" t="str">
        <f>"121020204049"</f>
        <v>121020204049</v>
      </c>
      <c r="H26" s="4"/>
      <c r="I26" s="5"/>
    </row>
    <row r="27" spans="1:9" ht="34">
      <c r="A27" s="2">
        <v>24</v>
      </c>
      <c r="B27" s="3" t="s">
        <v>14</v>
      </c>
      <c r="C27" s="3" t="str">
        <f>"Python应用基础MOOC"</f>
        <v>Python应用基础MOOC</v>
      </c>
      <c r="D27" s="3" t="str">
        <f>"慕课"</f>
        <v>慕课</v>
      </c>
      <c r="E27" s="3" t="str">
        <f>"谢志龙"</f>
        <v>谢志龙</v>
      </c>
      <c r="F27" s="3" t="str">
        <f>"程睿"</f>
        <v>程睿</v>
      </c>
      <c r="G27" s="3" t="str">
        <f>"118120204006"</f>
        <v>118120204006</v>
      </c>
      <c r="H27" s="4"/>
      <c r="I27" s="5"/>
    </row>
    <row r="28" spans="1:9" ht="34">
      <c r="A28" s="2">
        <v>25</v>
      </c>
      <c r="B28" s="3" t="s">
        <v>14</v>
      </c>
      <c r="C28" s="3" t="str">
        <f>"数字经济支付MOOC"</f>
        <v>数字经济支付MOOC</v>
      </c>
      <c r="D28" s="3" t="str">
        <f>"慕课"</f>
        <v>慕课</v>
      </c>
      <c r="E28" s="3" t="str">
        <f>"李忠俊"</f>
        <v>李忠俊</v>
      </c>
      <c r="F28" s="3" t="str">
        <f>"孙名扬"</f>
        <v>孙名扬</v>
      </c>
      <c r="G28" s="3" t="str">
        <f>"2210202Z3001"</f>
        <v>2210202Z3001</v>
      </c>
      <c r="H28" s="4"/>
      <c r="I28" s="5"/>
    </row>
    <row r="29" spans="1:9" ht="34">
      <c r="A29" s="2">
        <v>26</v>
      </c>
      <c r="B29" s="3" t="s">
        <v>14</v>
      </c>
      <c r="C29" s="3" t="str">
        <f>"商务智能MOOC"</f>
        <v>商务智能MOOC</v>
      </c>
      <c r="D29" s="3" t="str">
        <f>"慕课"</f>
        <v>慕课</v>
      </c>
      <c r="E29" s="3" t="str">
        <f>"李瑾坤"</f>
        <v>李瑾坤</v>
      </c>
      <c r="F29" s="3" t="str">
        <f>"靳晓曼"</f>
        <v>靳晓曼</v>
      </c>
      <c r="G29" s="3" t="str">
        <f>"119020204052"</f>
        <v>119020204052</v>
      </c>
      <c r="H29" s="4"/>
      <c r="I29" s="5"/>
    </row>
    <row r="30" spans="1:9" ht="68">
      <c r="A30" s="2">
        <v>27</v>
      </c>
      <c r="B30" s="3" t="s">
        <v>14</v>
      </c>
      <c r="C30" s="3" t="str">
        <f>"程序设计及应用（Python）（英）"</f>
        <v>程序设计及应用（Python）（英）</v>
      </c>
      <c r="D30" s="3" t="str">
        <f>"通识基础课"</f>
        <v>通识基础课</v>
      </c>
      <c r="E30" s="3" t="str">
        <f>"刘凌"</f>
        <v>刘凌</v>
      </c>
      <c r="F30" s="3" t="str">
        <f>"陈春"</f>
        <v>陈春</v>
      </c>
      <c r="G30" s="3" t="str">
        <f>"1220202Z2005"</f>
        <v>1220202Z2005</v>
      </c>
      <c r="H30" s="4"/>
      <c r="I30" s="5"/>
    </row>
    <row r="31" spans="1:9" ht="68">
      <c r="A31" s="2">
        <v>28</v>
      </c>
      <c r="B31" s="3" t="s">
        <v>14</v>
      </c>
      <c r="C31" s="3" t="str">
        <f>"程序设计及应用（Python）（英）"</f>
        <v>程序设计及应用（Python）（英）</v>
      </c>
      <c r="D31" s="3" t="str">
        <f>"通识基础课"</f>
        <v>通识基础课</v>
      </c>
      <c r="E31" s="3" t="str">
        <f>"刘凌"</f>
        <v>刘凌</v>
      </c>
      <c r="F31" s="3" t="str">
        <f>"郑泽旭"</f>
        <v>郑泽旭</v>
      </c>
      <c r="G31" s="3" t="str">
        <f>"2210202Z2047"</f>
        <v>2210202Z2047</v>
      </c>
      <c r="H31" s="4"/>
      <c r="I31" s="5"/>
    </row>
    <row r="32" spans="1:9" ht="34">
      <c r="A32" s="2">
        <v>29</v>
      </c>
      <c r="B32" s="3" t="s">
        <v>14</v>
      </c>
      <c r="C32" s="3" t="str">
        <f>"互联网金融MOOC"</f>
        <v>互联网金融MOOC</v>
      </c>
      <c r="D32" s="3" t="str">
        <f>"慕课"</f>
        <v>慕课</v>
      </c>
      <c r="E32" s="3" t="str">
        <f>"帅青红"</f>
        <v>帅青红</v>
      </c>
      <c r="F32" s="3" t="str">
        <f>"何欣悦"</f>
        <v>何欣悦</v>
      </c>
      <c r="G32" s="3" t="str">
        <f>"221020204213"</f>
        <v>221020204213</v>
      </c>
      <c r="H32" s="4"/>
      <c r="I32" s="5"/>
    </row>
    <row r="33" spans="1:9" ht="34">
      <c r="A33" s="2">
        <v>30</v>
      </c>
      <c r="B33" s="3" t="s">
        <v>14</v>
      </c>
      <c r="C33" s="3" t="str">
        <f>"管理信息系统（英）"</f>
        <v>管理信息系统（英）</v>
      </c>
      <c r="D33" s="3" t="str">
        <f>"专业必修课"</f>
        <v>专业必修课</v>
      </c>
      <c r="E33" s="3" t="str">
        <f>"徐赟"</f>
        <v>徐赟</v>
      </c>
      <c r="F33" s="3" t="str">
        <f>"赵丽"</f>
        <v>赵丽</v>
      </c>
      <c r="G33" s="3" t="str">
        <f>"121120204004"</f>
        <v>121120204004</v>
      </c>
      <c r="H33" s="4"/>
      <c r="I33" s="5"/>
    </row>
    <row r="34" spans="1:9" ht="34">
      <c r="A34" s="2">
        <v>31</v>
      </c>
      <c r="B34" s="3" t="s">
        <v>14</v>
      </c>
      <c r="C34" s="3" t="str">
        <f>"运营管理"</f>
        <v>运营管理</v>
      </c>
      <c r="D34" s="3" t="str">
        <f>"专业必修课"</f>
        <v>专业必修课</v>
      </c>
      <c r="E34" s="3" t="str">
        <f>"宋博迁"</f>
        <v>宋博迁</v>
      </c>
      <c r="F34" s="3" t="str">
        <f>"丁一玲"</f>
        <v>丁一玲</v>
      </c>
      <c r="G34" s="3" t="str">
        <f>"121020202002"</f>
        <v>121020202002</v>
      </c>
      <c r="H34" s="4"/>
      <c r="I34" s="5"/>
    </row>
    <row r="35" spans="1:9" ht="51">
      <c r="A35" s="2">
        <v>32</v>
      </c>
      <c r="B35" s="3" t="s">
        <v>15</v>
      </c>
      <c r="C35" s="3" t="str">
        <f>"Intermediate Microeconomics MOOC"</f>
        <v>Intermediate Microeconomics MOOC</v>
      </c>
      <c r="D35" s="3" t="str">
        <f>"慕课"</f>
        <v>慕课</v>
      </c>
      <c r="E35" s="3" t="str">
        <f>"刘媛媛"</f>
        <v>刘媛媛</v>
      </c>
      <c r="F35" s="3" t="str">
        <f>"代毅"</f>
        <v>代毅</v>
      </c>
      <c r="G35" s="3" t="str">
        <f>"121020206006"</f>
        <v>121020206006</v>
      </c>
      <c r="H35" s="4"/>
      <c r="I35" s="5"/>
    </row>
    <row r="36" spans="1:9" ht="34">
      <c r="A36" s="2">
        <v>33</v>
      </c>
      <c r="B36" s="3" t="s">
        <v>15</v>
      </c>
      <c r="C36" s="3" t="str">
        <f>"宏观经济学（双语）"</f>
        <v>宏观经济学（双语）</v>
      </c>
      <c r="D36" s="3" t="str">
        <f>"大学科基础课"</f>
        <v>大学科基础课</v>
      </c>
      <c r="E36" s="3" t="str">
        <f>"姚星"</f>
        <v>姚星</v>
      </c>
      <c r="F36" s="3" t="str">
        <f>"赵锋祥"</f>
        <v>赵锋祥</v>
      </c>
      <c r="G36" s="3" t="str">
        <f>"121020206008"</f>
        <v>121020206008</v>
      </c>
      <c r="H36" s="4"/>
      <c r="I36" s="5"/>
    </row>
    <row r="37" spans="1:9" ht="34">
      <c r="A37" s="2">
        <v>34</v>
      </c>
      <c r="B37" s="3" t="s">
        <v>15</v>
      </c>
      <c r="C37" s="3" t="str">
        <f>"全球供应链管理MOOC"</f>
        <v>全球供应链管理MOOC</v>
      </c>
      <c r="D37" s="3" t="str">
        <f>"慕课"</f>
        <v>慕课</v>
      </c>
      <c r="E37" s="3" t="str">
        <f>"叶作亮"</f>
        <v>叶作亮</v>
      </c>
      <c r="F37" s="3" t="str">
        <f>"贺瑶"</f>
        <v>贺瑶</v>
      </c>
      <c r="G37" s="3" t="str">
        <f>"1221202Z5002"</f>
        <v>1221202Z5002</v>
      </c>
      <c r="H37" s="4"/>
      <c r="I37" s="5"/>
    </row>
    <row r="38" spans="1:9" ht="51">
      <c r="A38" s="2">
        <v>35</v>
      </c>
      <c r="B38" s="3" t="s">
        <v>15</v>
      </c>
      <c r="C38" s="3" t="str">
        <f>"组织行为学（英文）MOOC"</f>
        <v>组织行为学（英文）MOOC</v>
      </c>
      <c r="D38" s="3" t="str">
        <f>"慕课"</f>
        <v>慕课</v>
      </c>
      <c r="E38" s="3" t="str">
        <f>"宁南"</f>
        <v>宁南</v>
      </c>
      <c r="F38" s="3" t="str">
        <f>"刘雅君"</f>
        <v>刘雅君</v>
      </c>
      <c r="G38" s="3" t="str">
        <f>"1211202Z1004"</f>
        <v>1211202Z1004</v>
      </c>
      <c r="H38" s="4"/>
      <c r="I38" s="5"/>
    </row>
    <row r="39" spans="1:9" ht="34">
      <c r="A39" s="2">
        <v>36</v>
      </c>
      <c r="B39" s="3" t="s">
        <v>15</v>
      </c>
      <c r="C39" s="3" t="str">
        <f>"宏观经济学（双语）"</f>
        <v>宏观经济学（双语）</v>
      </c>
      <c r="D39" s="3" t="str">
        <f>"大学科基础课"</f>
        <v>大学科基础课</v>
      </c>
      <c r="E39" s="3" t="str">
        <f>"吴钢"</f>
        <v>吴钢</v>
      </c>
      <c r="F39" s="3" t="str">
        <f>"杨曼路"</f>
        <v>杨曼路</v>
      </c>
      <c r="G39" s="3" t="str">
        <f>"121020204028"</f>
        <v>121020204028</v>
      </c>
      <c r="H39" s="4"/>
      <c r="I39" s="5"/>
    </row>
    <row r="40" spans="1:9" ht="34">
      <c r="A40" s="2">
        <v>37</v>
      </c>
      <c r="B40" s="3" t="s">
        <v>16</v>
      </c>
      <c r="C40" s="3" t="str">
        <f>"会计学"</f>
        <v>会计学</v>
      </c>
      <c r="D40" s="3" t="str">
        <f>"大学科基础课"</f>
        <v>大学科基础课</v>
      </c>
      <c r="E40" s="3" t="str">
        <f>"张怡"</f>
        <v>张怡</v>
      </c>
      <c r="F40" s="3" t="str">
        <f>"庞雅心"</f>
        <v>庞雅心</v>
      </c>
      <c r="G40" s="3" t="str">
        <f>"2221202Z9007"</f>
        <v>2221202Z9007</v>
      </c>
      <c r="H40" s="4"/>
      <c r="I40" s="5"/>
    </row>
    <row r="41" spans="1:9" ht="34">
      <c r="A41" s="2">
        <v>38</v>
      </c>
      <c r="B41" s="3" t="s">
        <v>16</v>
      </c>
      <c r="C41" s="3" t="str">
        <f>"会计学"</f>
        <v>会计学</v>
      </c>
      <c r="D41" s="3" t="str">
        <f>"大学科基础课"</f>
        <v>大学科基础课</v>
      </c>
      <c r="E41" s="3" t="str">
        <f>"杨奕楠"</f>
        <v>杨奕楠</v>
      </c>
      <c r="F41" s="3" t="str">
        <f>"汪荟"</f>
        <v>汪荟</v>
      </c>
      <c r="G41" s="3" t="str">
        <f>"222120201022"</f>
        <v>222120201022</v>
      </c>
      <c r="H41" s="4"/>
      <c r="I41" s="5"/>
    </row>
    <row r="42" spans="1:9" ht="68">
      <c r="A42" s="2">
        <v>39</v>
      </c>
      <c r="B42" s="3" t="s">
        <v>16</v>
      </c>
      <c r="C42" s="3" t="str">
        <f>"The Principle of AuditingMOOC"</f>
        <v>The Principle of AuditingMOOC</v>
      </c>
      <c r="D42" s="3" t="str">
        <f>"慕课"</f>
        <v>慕课</v>
      </c>
      <c r="E42" s="3" t="str">
        <f>"李越冬"</f>
        <v>李越冬</v>
      </c>
      <c r="F42" s="3" t="str">
        <f>"冉一江"</f>
        <v>冉一江</v>
      </c>
      <c r="G42" s="3" t="str">
        <f>"222120201021"</f>
        <v>222120201021</v>
      </c>
      <c r="H42" s="4"/>
      <c r="I42" s="5"/>
    </row>
    <row r="43" spans="1:9" ht="34">
      <c r="A43" s="2">
        <v>40</v>
      </c>
      <c r="B43" s="3" t="s">
        <v>16</v>
      </c>
      <c r="C43" s="3" t="str">
        <f>"会计学"</f>
        <v>会计学</v>
      </c>
      <c r="D43" s="3" t="str">
        <f>"大学科基础课"</f>
        <v>大学科基础课</v>
      </c>
      <c r="E43" s="3" t="str">
        <f>"杨奕楠"</f>
        <v>杨奕楠</v>
      </c>
      <c r="F43" s="3" t="str">
        <f>"高添"</f>
        <v>高添</v>
      </c>
      <c r="G43" s="3" t="str">
        <f>"1211202Z6005"</f>
        <v>1211202Z6005</v>
      </c>
      <c r="H43" s="4"/>
      <c r="I43" s="5"/>
    </row>
    <row r="44" spans="1:9" ht="34">
      <c r="A44" s="2">
        <v>41</v>
      </c>
      <c r="B44" s="3" t="s">
        <v>16</v>
      </c>
      <c r="C44" s="3" t="str">
        <f>"会计学"</f>
        <v>会计学</v>
      </c>
      <c r="D44" s="3" t="str">
        <f>"大学科基础课"</f>
        <v>大学科基础课</v>
      </c>
      <c r="E44" s="3" t="str">
        <f>"李朝霞"</f>
        <v>李朝霞</v>
      </c>
      <c r="F44" s="3" t="str">
        <f>"岳佳彬"</f>
        <v>岳佳彬</v>
      </c>
      <c r="G44" s="3" t="str">
        <f>"1211202Z6002"</f>
        <v>1211202Z6002</v>
      </c>
      <c r="H44" s="4"/>
      <c r="I44" s="5"/>
    </row>
    <row r="45" spans="1:9" ht="34">
      <c r="A45" s="2">
        <v>42</v>
      </c>
      <c r="B45" s="3" t="s">
        <v>16</v>
      </c>
      <c r="C45" s="3" t="str">
        <f>"会计学"</f>
        <v>会计学</v>
      </c>
      <c r="D45" s="3" t="str">
        <f>"大学科基础课"</f>
        <v>大学科基础课</v>
      </c>
      <c r="E45" s="3" t="str">
        <f>"易阳"</f>
        <v>易阳</v>
      </c>
      <c r="F45" s="3" t="str">
        <f>"王誉静"</f>
        <v>王誉静</v>
      </c>
      <c r="G45" s="3" t="str">
        <f>"2211202Z6017"</f>
        <v>2211202Z6017</v>
      </c>
      <c r="H45" s="4"/>
      <c r="I45" s="5"/>
    </row>
    <row r="46" spans="1:9" ht="34">
      <c r="A46" s="2">
        <v>43</v>
      </c>
      <c r="B46" s="3" t="s">
        <v>16</v>
      </c>
      <c r="C46" s="3" t="str">
        <f>"会计学"</f>
        <v>会计学</v>
      </c>
      <c r="D46" s="3" t="str">
        <f>"大学科基础课"</f>
        <v>大学科基础课</v>
      </c>
      <c r="E46" s="3" t="str">
        <f>"张倩倩"</f>
        <v>张倩倩</v>
      </c>
      <c r="F46" s="3" t="str">
        <f>"缪伦钰"</f>
        <v>缪伦钰</v>
      </c>
      <c r="G46" s="3" t="str">
        <f>"2221202Z7009"</f>
        <v>2221202Z7009</v>
      </c>
      <c r="H46" s="4"/>
      <c r="I46" s="5"/>
    </row>
    <row r="47" spans="1:9" ht="34">
      <c r="A47" s="2">
        <v>44</v>
      </c>
      <c r="B47" s="3" t="s">
        <v>16</v>
      </c>
      <c r="C47" s="3" t="str">
        <f>"会计学"</f>
        <v>会计学</v>
      </c>
      <c r="D47" s="3" t="str">
        <f>"大学科基础课"</f>
        <v>大学科基础课</v>
      </c>
      <c r="E47" s="3" t="str">
        <f>"黄健"</f>
        <v>黄健</v>
      </c>
      <c r="F47" s="3" t="str">
        <f>"王治"</f>
        <v>王治</v>
      </c>
      <c r="G47" s="3" t="str">
        <f>"120120201003"</f>
        <v>120120201003</v>
      </c>
      <c r="H47" s="4"/>
      <c r="I47" s="5"/>
    </row>
    <row r="48" spans="1:9" ht="68">
      <c r="A48" s="2">
        <v>45</v>
      </c>
      <c r="B48" s="3" t="s">
        <v>16</v>
      </c>
      <c r="C48" s="3" t="str">
        <f>"综合能力训练（ERP模拟经营沙盘）MOOC"</f>
        <v>综合能力训练（ERP模拟经营沙盘）MOOC</v>
      </c>
      <c r="D48" s="3" t="str">
        <f>"慕课"</f>
        <v>慕课</v>
      </c>
      <c r="E48" s="3" t="str">
        <f>"邹燕"</f>
        <v>邹燕</v>
      </c>
      <c r="F48" s="3" t="str">
        <f>"石琦"</f>
        <v>石琦</v>
      </c>
      <c r="G48" s="3" t="str">
        <f>"2211202Z6022"</f>
        <v>2211202Z6022</v>
      </c>
      <c r="H48" s="4"/>
      <c r="I48" s="5"/>
    </row>
    <row r="49" spans="1:9" ht="34">
      <c r="A49" s="2">
        <v>46</v>
      </c>
      <c r="B49" s="3" t="s">
        <v>16</v>
      </c>
      <c r="C49" s="3" t="str">
        <f>"管理会计学MOOC"</f>
        <v>管理会计学MOOC</v>
      </c>
      <c r="D49" s="3" t="str">
        <f>"慕课"</f>
        <v>慕课</v>
      </c>
      <c r="E49" s="3" t="str">
        <f>"李玉周"</f>
        <v>李玉周</v>
      </c>
      <c r="F49" s="3" t="str">
        <f>"张婷睿"</f>
        <v>张婷睿</v>
      </c>
      <c r="G49" s="3" t="str">
        <f>"220120201034"</f>
        <v>220120201034</v>
      </c>
      <c r="H49" s="4"/>
      <c r="I49" s="5"/>
    </row>
    <row r="50" spans="1:9" ht="34">
      <c r="A50" s="2">
        <v>47</v>
      </c>
      <c r="B50" s="3" t="s">
        <v>16</v>
      </c>
      <c r="C50" s="3" t="str">
        <f t="shared" ref="C50:C57" si="1">"会计学"</f>
        <v>会计学</v>
      </c>
      <c r="D50" s="3" t="str">
        <f t="shared" ref="D50:D57" si="2">"大学科基础课"</f>
        <v>大学科基础课</v>
      </c>
      <c r="E50" s="3" t="str">
        <f>"易阳"</f>
        <v>易阳</v>
      </c>
      <c r="F50" s="3" t="str">
        <f>"陈嘉欢"</f>
        <v>陈嘉欢</v>
      </c>
      <c r="G50" s="3" t="str">
        <f>"2221202Z6008"</f>
        <v>2221202Z6008</v>
      </c>
      <c r="H50" s="4"/>
      <c r="I50" s="5"/>
    </row>
    <row r="51" spans="1:9" ht="34">
      <c r="A51" s="2">
        <v>48</v>
      </c>
      <c r="B51" s="3" t="s">
        <v>16</v>
      </c>
      <c r="C51" s="3" t="str">
        <f t="shared" si="1"/>
        <v>会计学</v>
      </c>
      <c r="D51" s="3" t="str">
        <f t="shared" si="2"/>
        <v>大学科基础课</v>
      </c>
      <c r="E51" s="3" t="str">
        <f>"李朝霞"</f>
        <v>李朝霞</v>
      </c>
      <c r="F51" s="3" t="str">
        <f>"陆伦葳"</f>
        <v>陆伦葳</v>
      </c>
      <c r="G51" s="3" t="str">
        <f>"1201202Z6001"</f>
        <v>1201202Z6001</v>
      </c>
      <c r="H51" s="4"/>
      <c r="I51" s="5"/>
    </row>
    <row r="52" spans="1:9" ht="34">
      <c r="A52" s="2">
        <v>49</v>
      </c>
      <c r="B52" s="3" t="s">
        <v>16</v>
      </c>
      <c r="C52" s="3" t="str">
        <f t="shared" si="1"/>
        <v>会计学</v>
      </c>
      <c r="D52" s="3" t="str">
        <f t="shared" si="2"/>
        <v>大学科基础课</v>
      </c>
      <c r="E52" s="3" t="str">
        <f>"张倩倩"</f>
        <v>张倩倩</v>
      </c>
      <c r="F52" s="3" t="str">
        <f>"王钰铃"</f>
        <v>王钰铃</v>
      </c>
      <c r="G52" s="3" t="str">
        <f>"121120201004"</f>
        <v>121120201004</v>
      </c>
      <c r="H52" s="4"/>
      <c r="I52" s="5"/>
    </row>
    <row r="53" spans="1:9" ht="34">
      <c r="A53" s="2">
        <v>50</v>
      </c>
      <c r="B53" s="3" t="s">
        <v>16</v>
      </c>
      <c r="C53" s="3" t="str">
        <f t="shared" si="1"/>
        <v>会计学</v>
      </c>
      <c r="D53" s="3" t="str">
        <f t="shared" si="2"/>
        <v>大学科基础课</v>
      </c>
      <c r="E53" s="3" t="str">
        <f>"金雅玲"</f>
        <v>金雅玲</v>
      </c>
      <c r="F53" s="3" t="str">
        <f>"蒋维"</f>
        <v>蒋维</v>
      </c>
      <c r="G53" s="3" t="str">
        <f>"121120201002"</f>
        <v>121120201002</v>
      </c>
      <c r="H53" s="4"/>
      <c r="I53" s="5"/>
    </row>
    <row r="54" spans="1:9" ht="34">
      <c r="A54" s="2">
        <v>51</v>
      </c>
      <c r="B54" s="3" t="s">
        <v>16</v>
      </c>
      <c r="C54" s="3" t="str">
        <f t="shared" si="1"/>
        <v>会计学</v>
      </c>
      <c r="D54" s="3" t="str">
        <f t="shared" si="2"/>
        <v>大学科基础课</v>
      </c>
      <c r="E54" s="3" t="str">
        <f>"许楠"</f>
        <v>许楠</v>
      </c>
      <c r="F54" s="3" t="str">
        <f>"宇文蕙兰"</f>
        <v>宇文蕙兰</v>
      </c>
      <c r="G54" s="3" t="str">
        <f>"119120201006"</f>
        <v>119120201006</v>
      </c>
      <c r="H54" s="4"/>
      <c r="I54" s="5"/>
    </row>
    <row r="55" spans="1:9" ht="34">
      <c r="A55" s="2">
        <v>52</v>
      </c>
      <c r="B55" s="3" t="s">
        <v>16</v>
      </c>
      <c r="C55" s="3" t="str">
        <f t="shared" si="1"/>
        <v>会计学</v>
      </c>
      <c r="D55" s="3" t="str">
        <f t="shared" si="2"/>
        <v>大学科基础课</v>
      </c>
      <c r="E55" s="3" t="str">
        <f>"许楠"</f>
        <v>许楠</v>
      </c>
      <c r="F55" s="3" t="str">
        <f>"刘天红"</f>
        <v>刘天红</v>
      </c>
      <c r="G55" s="3" t="str">
        <f>"1221202Z6001"</f>
        <v>1221202Z6001</v>
      </c>
      <c r="H55" s="4"/>
      <c r="I55" s="5"/>
    </row>
    <row r="56" spans="1:9" ht="34">
      <c r="A56" s="2">
        <v>53</v>
      </c>
      <c r="B56" s="3" t="s">
        <v>16</v>
      </c>
      <c r="C56" s="3" t="str">
        <f t="shared" si="1"/>
        <v>会计学</v>
      </c>
      <c r="D56" s="3" t="str">
        <f t="shared" si="2"/>
        <v>大学科基础课</v>
      </c>
      <c r="E56" s="3" t="str">
        <f>"华晨"</f>
        <v>华晨</v>
      </c>
      <c r="F56" s="3" t="str">
        <f>"陈伟忠"</f>
        <v>陈伟忠</v>
      </c>
      <c r="G56" s="3" t="str">
        <f>"122120201010"</f>
        <v>122120201010</v>
      </c>
      <c r="H56" s="4"/>
      <c r="I56" s="5"/>
    </row>
    <row r="57" spans="1:9" ht="34">
      <c r="A57" s="2">
        <v>54</v>
      </c>
      <c r="B57" s="3" t="s">
        <v>16</v>
      </c>
      <c r="C57" s="3" t="str">
        <f t="shared" si="1"/>
        <v>会计学</v>
      </c>
      <c r="D57" s="3" t="str">
        <f t="shared" si="2"/>
        <v>大学科基础课</v>
      </c>
      <c r="E57" s="3" t="str">
        <f>"李海燕"</f>
        <v>李海燕</v>
      </c>
      <c r="F57" s="3" t="str">
        <f>"徐凤志"</f>
        <v>徐凤志</v>
      </c>
      <c r="G57" s="3" t="str">
        <f>"1221202Z7004"</f>
        <v>1221202Z7004</v>
      </c>
      <c r="H57" s="4"/>
      <c r="I57" s="5"/>
    </row>
    <row r="58" spans="1:9" ht="51">
      <c r="A58" s="2">
        <v>55</v>
      </c>
      <c r="B58" s="3" t="s">
        <v>16</v>
      </c>
      <c r="C58" s="3" t="str">
        <f>"中级财务会计I（英）MOOC"</f>
        <v>中级财务会计I（英）MOOC</v>
      </c>
      <c r="D58" s="3" t="str">
        <f>"慕课"</f>
        <v>慕课</v>
      </c>
      <c r="E58" s="3" t="str">
        <f>"何力"</f>
        <v>何力</v>
      </c>
      <c r="F58" s="3" t="str">
        <f>"陈玥"</f>
        <v>陈玥</v>
      </c>
      <c r="G58" s="3" t="str">
        <f>"220120201033"</f>
        <v>220120201033</v>
      </c>
      <c r="H58" s="4"/>
      <c r="I58" s="5"/>
    </row>
    <row r="59" spans="1:9" ht="34">
      <c r="A59" s="2">
        <v>56</v>
      </c>
      <c r="B59" s="3" t="s">
        <v>16</v>
      </c>
      <c r="C59" s="3" t="str">
        <f t="shared" ref="C59:C65" si="3">"会计学"</f>
        <v>会计学</v>
      </c>
      <c r="D59" s="3" t="str">
        <f t="shared" ref="D59:D65" si="4">"大学科基础课"</f>
        <v>大学科基础课</v>
      </c>
      <c r="E59" s="3" t="str">
        <f>"金雅玲"</f>
        <v>金雅玲</v>
      </c>
      <c r="F59" s="3" t="str">
        <f>"彭振革"</f>
        <v>彭振革</v>
      </c>
      <c r="G59" s="3" t="str">
        <f>"121120201006"</f>
        <v>121120201006</v>
      </c>
      <c r="H59" s="4"/>
      <c r="I59" s="5"/>
    </row>
    <row r="60" spans="1:9" ht="34">
      <c r="A60" s="2">
        <v>57</v>
      </c>
      <c r="B60" s="3" t="s">
        <v>16</v>
      </c>
      <c r="C60" s="3" t="str">
        <f t="shared" si="3"/>
        <v>会计学</v>
      </c>
      <c r="D60" s="3" t="str">
        <f t="shared" si="4"/>
        <v>大学科基础课</v>
      </c>
      <c r="E60" s="3" t="str">
        <f>"华晨"</f>
        <v>华晨</v>
      </c>
      <c r="F60" s="3" t="str">
        <f>"江沐子"</f>
        <v>江沐子</v>
      </c>
      <c r="G60" s="3" t="str">
        <f>"2181202Z6035"</f>
        <v>2181202Z6035</v>
      </c>
      <c r="H60" s="4"/>
      <c r="I60" s="5"/>
    </row>
    <row r="61" spans="1:9" ht="34">
      <c r="A61" s="2">
        <v>58</v>
      </c>
      <c r="B61" s="3" t="s">
        <v>16</v>
      </c>
      <c r="C61" s="3" t="str">
        <f t="shared" si="3"/>
        <v>会计学</v>
      </c>
      <c r="D61" s="3" t="str">
        <f t="shared" si="4"/>
        <v>大学科基础课</v>
      </c>
      <c r="E61" s="3" t="str">
        <f>"任世驰"</f>
        <v>任世驰</v>
      </c>
      <c r="F61" s="3" t="str">
        <f>"马艺璇"</f>
        <v>马艺璇</v>
      </c>
      <c r="G61" s="3" t="str">
        <f>"222120201025"</f>
        <v>222120201025</v>
      </c>
      <c r="H61" s="4"/>
      <c r="I61" s="5"/>
    </row>
    <row r="62" spans="1:9" ht="34">
      <c r="A62" s="2">
        <v>59</v>
      </c>
      <c r="B62" s="3" t="s">
        <v>16</v>
      </c>
      <c r="C62" s="3" t="str">
        <f t="shared" si="3"/>
        <v>会计学</v>
      </c>
      <c r="D62" s="3" t="str">
        <f t="shared" si="4"/>
        <v>大学科基础课</v>
      </c>
      <c r="E62" s="3" t="str">
        <f>"冯建"</f>
        <v>冯建</v>
      </c>
      <c r="F62" s="3" t="str">
        <f>"梁情文"</f>
        <v>梁情文</v>
      </c>
      <c r="G62" s="3" t="str">
        <f>"1191202Z6002"</f>
        <v>1191202Z6002</v>
      </c>
      <c r="H62" s="4"/>
      <c r="I62" s="5"/>
    </row>
    <row r="63" spans="1:9" ht="34">
      <c r="A63" s="2">
        <v>60</v>
      </c>
      <c r="B63" s="3" t="s">
        <v>16</v>
      </c>
      <c r="C63" s="3" t="str">
        <f t="shared" si="3"/>
        <v>会计学</v>
      </c>
      <c r="D63" s="3" t="str">
        <f t="shared" si="4"/>
        <v>大学科基础课</v>
      </c>
      <c r="E63" s="3" t="str">
        <f>"张力"</f>
        <v>张力</v>
      </c>
      <c r="F63" s="3" t="str">
        <f>"赵良凯"</f>
        <v>赵良凯</v>
      </c>
      <c r="G63" s="3" t="str">
        <f>"119120201005"</f>
        <v>119120201005</v>
      </c>
      <c r="H63" s="4"/>
      <c r="I63" s="5"/>
    </row>
    <row r="64" spans="1:9" ht="34">
      <c r="A64" s="2">
        <v>61</v>
      </c>
      <c r="B64" s="3" t="s">
        <v>16</v>
      </c>
      <c r="C64" s="3" t="str">
        <f t="shared" si="3"/>
        <v>会计学</v>
      </c>
      <c r="D64" s="3" t="str">
        <f t="shared" si="4"/>
        <v>大学科基础课</v>
      </c>
      <c r="E64" s="3" t="str">
        <f>"李海燕"</f>
        <v>李海燕</v>
      </c>
      <c r="F64" s="3" t="str">
        <f>"谭琳"</f>
        <v>谭琳</v>
      </c>
      <c r="G64" s="3" t="str">
        <f>"1211202Z6007"</f>
        <v>1211202Z6007</v>
      </c>
      <c r="H64" s="4"/>
      <c r="I64" s="5"/>
    </row>
    <row r="65" spans="1:9" ht="34">
      <c r="A65" s="2">
        <v>62</v>
      </c>
      <c r="B65" s="3" t="s">
        <v>16</v>
      </c>
      <c r="C65" s="3" t="str">
        <f t="shared" si="3"/>
        <v>会计学</v>
      </c>
      <c r="D65" s="3" t="str">
        <f t="shared" si="4"/>
        <v>大学科基础课</v>
      </c>
      <c r="E65" s="3" t="str">
        <f>"任世驰"</f>
        <v>任世驰</v>
      </c>
      <c r="F65" s="3" t="str">
        <f>"贾金方"</f>
        <v>贾金方</v>
      </c>
      <c r="G65" s="3" t="str">
        <f>"2221202Z6007"</f>
        <v>2221202Z6007</v>
      </c>
      <c r="H65" s="4"/>
      <c r="I65" s="5"/>
    </row>
    <row r="66" spans="1:9" ht="34">
      <c r="A66" s="2">
        <v>63</v>
      </c>
      <c r="B66" s="3" t="s">
        <v>16</v>
      </c>
      <c r="C66" s="3" t="str">
        <f>"中级财务会计MOOC"</f>
        <v>中级财务会计MOOC</v>
      </c>
      <c r="D66" s="3" t="str">
        <f>"慕课"</f>
        <v>慕课</v>
      </c>
      <c r="E66" s="3" t="str">
        <f>"王雪"</f>
        <v>王雪</v>
      </c>
      <c r="F66" s="3" t="str">
        <f>"石雨杨"</f>
        <v>石雨杨</v>
      </c>
      <c r="G66" s="3" t="str">
        <f>"222120201014"</f>
        <v>222120201014</v>
      </c>
      <c r="H66" s="4"/>
      <c r="I66" s="5"/>
    </row>
    <row r="67" spans="1:9" ht="34">
      <c r="A67" s="2">
        <v>64</v>
      </c>
      <c r="B67" s="3" t="s">
        <v>16</v>
      </c>
      <c r="C67" s="3" t="str">
        <f>"会计学"</f>
        <v>会计学</v>
      </c>
      <c r="D67" s="3" t="str">
        <f>"大学科基础课"</f>
        <v>大学科基础课</v>
      </c>
      <c r="E67" s="3" t="str">
        <f>"张怡"</f>
        <v>张怡</v>
      </c>
      <c r="F67" s="3" t="str">
        <f>"刘亮"</f>
        <v>刘亮</v>
      </c>
      <c r="G67" s="3" t="str">
        <f>"121120201009"</f>
        <v>121120201009</v>
      </c>
      <c r="H67" s="4"/>
      <c r="I67" s="5"/>
    </row>
    <row r="68" spans="1:9" ht="34">
      <c r="A68" s="2">
        <v>65</v>
      </c>
      <c r="B68" s="3" t="s">
        <v>17</v>
      </c>
      <c r="C68" s="3" t="str">
        <f>"货币金融学"</f>
        <v>货币金融学</v>
      </c>
      <c r="D68" s="3" t="str">
        <f>"大学科基础课"</f>
        <v>大学科基础课</v>
      </c>
      <c r="E68" s="3" t="str">
        <f>"翁舟杰"</f>
        <v>翁舟杰</v>
      </c>
      <c r="F68" s="3" t="str">
        <f>"张玉清"</f>
        <v>张玉清</v>
      </c>
      <c r="G68" s="3" t="str">
        <f>"222020204156"</f>
        <v>222020204156</v>
      </c>
      <c r="H68" s="4"/>
      <c r="I68" s="5"/>
    </row>
    <row r="69" spans="1:9" ht="34">
      <c r="A69" s="2">
        <v>66</v>
      </c>
      <c r="B69" s="3" t="s">
        <v>17</v>
      </c>
      <c r="C69" s="3" t="str">
        <f>"保险合同法MOOC"</f>
        <v>保险合同法MOOC</v>
      </c>
      <c r="D69" s="3" t="str">
        <f>"慕课"</f>
        <v>慕课</v>
      </c>
      <c r="E69" s="3" t="str">
        <f>"王伊琳"</f>
        <v>王伊琳</v>
      </c>
      <c r="F69" s="3" t="str">
        <f>"贺慧敏"</f>
        <v>贺慧敏</v>
      </c>
      <c r="G69" s="3" t="str">
        <f>"221020204077"</f>
        <v>221020204077</v>
      </c>
      <c r="H69" s="4"/>
      <c r="I69" s="5"/>
    </row>
    <row r="70" spans="1:9" ht="51">
      <c r="A70" s="2">
        <v>67</v>
      </c>
      <c r="B70" s="3" t="s">
        <v>17</v>
      </c>
      <c r="C70" s="3" t="str">
        <f>"Corporate FinanceMOOC"</f>
        <v>Corporate FinanceMOOC</v>
      </c>
      <c r="D70" s="3" t="str">
        <f>"慕课"</f>
        <v>慕课</v>
      </c>
      <c r="E70" s="3" t="str">
        <f>"许志"</f>
        <v>许志</v>
      </c>
      <c r="F70" s="3" t="str">
        <f>"谢茗"</f>
        <v>谢茗</v>
      </c>
      <c r="G70" s="3" t="str">
        <f>"222020204015"</f>
        <v>222020204015</v>
      </c>
      <c r="H70" s="4"/>
      <c r="I70" s="5"/>
    </row>
    <row r="71" spans="1:9" ht="34">
      <c r="A71" s="2">
        <v>68</v>
      </c>
      <c r="B71" s="3" t="s">
        <v>17</v>
      </c>
      <c r="C71" s="3" t="str">
        <f>"公司金融学MOOC"</f>
        <v>公司金融学MOOC</v>
      </c>
      <c r="D71" s="3" t="str">
        <f>"慕课"</f>
        <v>慕课</v>
      </c>
      <c r="E71" s="3" t="str">
        <f>"许志"</f>
        <v>许志</v>
      </c>
      <c r="F71" s="3" t="str">
        <f>"朱昱"</f>
        <v>朱昱</v>
      </c>
      <c r="G71" s="3" t="str">
        <f>"222020204048"</f>
        <v>222020204048</v>
      </c>
      <c r="H71" s="4"/>
      <c r="I71" s="5"/>
    </row>
    <row r="72" spans="1:9" ht="34">
      <c r="A72" s="2">
        <v>69</v>
      </c>
      <c r="B72" s="3" t="s">
        <v>17</v>
      </c>
      <c r="C72" s="3" t="str">
        <f>"货币金融学"</f>
        <v>货币金融学</v>
      </c>
      <c r="D72" s="3" t="str">
        <f>"大学科基础课"</f>
        <v>大学科基础课</v>
      </c>
      <c r="E72" s="3" t="str">
        <f>"肖宇"</f>
        <v>肖宇</v>
      </c>
      <c r="F72" s="3" t="str">
        <f>"郭进"</f>
        <v>郭进</v>
      </c>
      <c r="G72" s="3" t="str">
        <f>"119020204036"</f>
        <v>119020204036</v>
      </c>
      <c r="H72" s="4"/>
      <c r="I72" s="5"/>
    </row>
    <row r="73" spans="1:9" ht="34">
      <c r="A73" s="2">
        <v>70</v>
      </c>
      <c r="B73" s="3" t="s">
        <v>17</v>
      </c>
      <c r="C73" s="3" t="str">
        <f>"货币金融学"</f>
        <v>货币金融学</v>
      </c>
      <c r="D73" s="3" t="str">
        <f t="shared" ref="D73:D82" si="5">"大学科基础课"</f>
        <v>大学科基础课</v>
      </c>
      <c r="E73" s="3" t="str">
        <f>"翁舟杰"</f>
        <v>翁舟杰</v>
      </c>
      <c r="F73" s="3" t="str">
        <f>"涂建闽"</f>
        <v>涂建闽</v>
      </c>
      <c r="G73" s="3" t="str">
        <f>"221020204067"</f>
        <v>221020204067</v>
      </c>
      <c r="H73" s="4"/>
      <c r="I73" s="5"/>
    </row>
    <row r="74" spans="1:9" ht="34">
      <c r="A74" s="2">
        <v>71</v>
      </c>
      <c r="B74" s="3" t="s">
        <v>18</v>
      </c>
      <c r="C74" s="3" t="str">
        <f>"政治经济学"</f>
        <v>政治经济学</v>
      </c>
      <c r="D74" s="3" t="str">
        <f t="shared" si="5"/>
        <v>大学科基础课</v>
      </c>
      <c r="E74" s="3" t="str">
        <f>"姚常成"</f>
        <v>姚常成</v>
      </c>
      <c r="F74" s="3" t="str">
        <f>"张瑞生"</f>
        <v>张瑞生</v>
      </c>
      <c r="G74" s="3" t="str">
        <f>"221020101029"</f>
        <v>221020101029</v>
      </c>
      <c r="H74" s="4"/>
      <c r="I74" s="5"/>
    </row>
    <row r="75" spans="1:9" ht="34">
      <c r="A75" s="2">
        <v>72</v>
      </c>
      <c r="B75" s="3" t="s">
        <v>18</v>
      </c>
      <c r="C75" s="3" t="str">
        <f>"宏观经济学"</f>
        <v>宏观经济学</v>
      </c>
      <c r="D75" s="3" t="str">
        <f t="shared" si="5"/>
        <v>大学科基础课</v>
      </c>
      <c r="E75" s="3" t="str">
        <f>"戴薇"</f>
        <v>戴薇</v>
      </c>
      <c r="F75" s="3" t="str">
        <f>"何沁恬"</f>
        <v>何沁恬</v>
      </c>
      <c r="G75" s="3" t="str">
        <f>"222020104014"</f>
        <v>222020104014</v>
      </c>
      <c r="H75" s="4"/>
      <c r="I75" s="5"/>
    </row>
    <row r="76" spans="1:9" ht="34">
      <c r="A76" s="2">
        <v>73</v>
      </c>
      <c r="B76" s="3" t="s">
        <v>18</v>
      </c>
      <c r="C76" s="3" t="str">
        <f>"宏观经济学"</f>
        <v>宏观经济学</v>
      </c>
      <c r="D76" s="3" t="str">
        <f t="shared" si="5"/>
        <v>大学科基础课</v>
      </c>
      <c r="E76" s="3" t="str">
        <f>"王爱伦"</f>
        <v>王爱伦</v>
      </c>
      <c r="F76" s="3" t="str">
        <f>"陈映彤"</f>
        <v>陈映彤</v>
      </c>
      <c r="G76" s="3" t="str">
        <f>"120020104009"</f>
        <v>120020104009</v>
      </c>
      <c r="H76" s="4"/>
      <c r="I76" s="5"/>
    </row>
    <row r="77" spans="1:9" ht="34">
      <c r="A77" s="2">
        <v>74</v>
      </c>
      <c r="B77" s="3" t="s">
        <v>18</v>
      </c>
      <c r="C77" s="3" t="str">
        <f>"宏观经济学"</f>
        <v>宏观经济学</v>
      </c>
      <c r="D77" s="3" t="str">
        <f t="shared" si="5"/>
        <v>大学科基础课</v>
      </c>
      <c r="E77" s="3" t="str">
        <f>"刘书祥"</f>
        <v>刘书祥</v>
      </c>
      <c r="F77" s="3" t="str">
        <f>"陈棚"</f>
        <v>陈棚</v>
      </c>
      <c r="G77" s="3" t="str">
        <f>"222020104030"</f>
        <v>222020104030</v>
      </c>
      <c r="H77" s="4"/>
      <c r="I77" s="5"/>
    </row>
    <row r="78" spans="1:9" ht="34">
      <c r="A78" s="2">
        <v>75</v>
      </c>
      <c r="B78" s="3" t="s">
        <v>18</v>
      </c>
      <c r="C78" s="3" t="str">
        <f>"宏观经济学"</f>
        <v>宏观经济学</v>
      </c>
      <c r="D78" s="3" t="str">
        <f t="shared" si="5"/>
        <v>大学科基础课</v>
      </c>
      <c r="E78" s="3" t="str">
        <f>"黄俊兵"</f>
        <v>黄俊兵</v>
      </c>
      <c r="F78" s="3" t="str">
        <f>"汪亚君"</f>
        <v>汪亚君</v>
      </c>
      <c r="G78" s="3" t="str">
        <f>"1210201Z2001"</f>
        <v>1210201Z2001</v>
      </c>
      <c r="H78" s="4"/>
      <c r="I78" s="5"/>
    </row>
    <row r="79" spans="1:9" ht="34">
      <c r="A79" s="2">
        <v>76</v>
      </c>
      <c r="B79" s="3" t="s">
        <v>18</v>
      </c>
      <c r="C79" s="3" t="str">
        <f>"宏观经济学"</f>
        <v>宏观经济学</v>
      </c>
      <c r="D79" s="3" t="str">
        <f t="shared" si="5"/>
        <v>大学科基础课</v>
      </c>
      <c r="E79" s="3" t="str">
        <f>"栾炳江"</f>
        <v>栾炳江</v>
      </c>
      <c r="F79" s="3" t="str">
        <f>"喻曦"</f>
        <v>喻曦</v>
      </c>
      <c r="G79" s="3" t="str">
        <f>"122020104001"</f>
        <v>122020104001</v>
      </c>
      <c r="H79" s="4"/>
      <c r="I79" s="5"/>
    </row>
    <row r="80" spans="1:9" ht="34">
      <c r="A80" s="2">
        <v>77</v>
      </c>
      <c r="B80" s="3" t="s">
        <v>18</v>
      </c>
      <c r="C80" s="3" t="str">
        <f>"数字经济学"</f>
        <v>数字经济学</v>
      </c>
      <c r="D80" s="3" t="str">
        <f t="shared" si="5"/>
        <v>大学科基础课</v>
      </c>
      <c r="E80" s="3" t="str">
        <f>"王长安"</f>
        <v>王长安</v>
      </c>
      <c r="F80" s="3" t="str">
        <f>"王昭雯"</f>
        <v>王昭雯</v>
      </c>
      <c r="G80" s="3" t="str">
        <f>"221020106002"</f>
        <v>221020106002</v>
      </c>
      <c r="H80" s="4"/>
      <c r="I80" s="5"/>
    </row>
    <row r="81" spans="1:9" ht="34">
      <c r="A81" s="2">
        <v>78</v>
      </c>
      <c r="B81" s="3" t="s">
        <v>18</v>
      </c>
      <c r="C81" s="3" t="str">
        <f>"政治经济学"</f>
        <v>政治经济学</v>
      </c>
      <c r="D81" s="3" t="str">
        <f t="shared" si="5"/>
        <v>大学科基础课</v>
      </c>
      <c r="E81" s="3" t="str">
        <f>"张航"</f>
        <v>张航</v>
      </c>
      <c r="F81" s="3" t="str">
        <f>"王河欢"</f>
        <v>王河欢</v>
      </c>
      <c r="G81" s="3" t="str">
        <f>"120020202001"</f>
        <v>120020202001</v>
      </c>
      <c r="H81" s="4"/>
      <c r="I81" s="5"/>
    </row>
    <row r="82" spans="1:9" ht="34">
      <c r="A82" s="2">
        <v>79</v>
      </c>
      <c r="B82" s="3" t="s">
        <v>18</v>
      </c>
      <c r="C82" s="3" t="str">
        <f>"政治经济学"</f>
        <v>政治经济学</v>
      </c>
      <c r="D82" s="3" t="str">
        <f t="shared" si="5"/>
        <v>大学科基础课</v>
      </c>
      <c r="E82" s="3" t="str">
        <f>"葛浩阳"</f>
        <v>葛浩阳</v>
      </c>
      <c r="F82" s="3" t="str">
        <f>"许谦"</f>
        <v>许谦</v>
      </c>
      <c r="G82" s="3" t="str">
        <f>"221020101004"</f>
        <v>221020101004</v>
      </c>
      <c r="H82" s="4"/>
      <c r="I82" s="5"/>
    </row>
    <row r="83" spans="1:9" ht="34">
      <c r="A83" s="2">
        <v>80</v>
      </c>
      <c r="B83" s="3" t="s">
        <v>18</v>
      </c>
      <c r="C83" s="3" t="str">
        <f>"中级宏观经济学"</f>
        <v>中级宏观经济学</v>
      </c>
      <c r="D83" s="3" t="str">
        <f>"专业方向课"</f>
        <v>专业方向课</v>
      </c>
      <c r="E83" s="3" t="str">
        <f>"陈师"</f>
        <v>陈师</v>
      </c>
      <c r="F83" s="3" t="str">
        <f>"石继红"</f>
        <v>石继红</v>
      </c>
      <c r="G83" s="3" t="str">
        <f>"121020103001"</f>
        <v>121020103001</v>
      </c>
      <c r="H83" s="4"/>
      <c r="I83" s="5"/>
    </row>
    <row r="84" spans="1:9" ht="34">
      <c r="A84" s="2">
        <v>81</v>
      </c>
      <c r="B84" s="3" t="s">
        <v>18</v>
      </c>
      <c r="C84" s="3" t="str">
        <f>"政治经济学"</f>
        <v>政治经济学</v>
      </c>
      <c r="D84" s="3" t="str">
        <f>"大学科基础课"</f>
        <v>大学科基础课</v>
      </c>
      <c r="E84" s="3" t="str">
        <f>"冯鹏程"</f>
        <v>冯鹏程</v>
      </c>
      <c r="F84" s="3" t="str">
        <f>"罗莉"</f>
        <v>罗莉</v>
      </c>
      <c r="G84" s="3" t="str">
        <f>"221020101024"</f>
        <v>221020101024</v>
      </c>
      <c r="H84" s="4"/>
      <c r="I84" s="5"/>
    </row>
    <row r="85" spans="1:9" ht="34">
      <c r="A85" s="2">
        <v>82</v>
      </c>
      <c r="B85" s="3" t="s">
        <v>18</v>
      </c>
      <c r="C85" s="3" t="str">
        <f>"中级宏观经济学"</f>
        <v>中级宏观经济学</v>
      </c>
      <c r="D85" s="3" t="str">
        <f>"专业必修课"</f>
        <v>专业必修课</v>
      </c>
      <c r="E85" s="3" t="str">
        <f>"曾志远"</f>
        <v>曾志远</v>
      </c>
      <c r="F85" s="3" t="str">
        <f>"潘文"</f>
        <v>潘文</v>
      </c>
      <c r="G85" s="3" t="str">
        <f>"121020104006"</f>
        <v>121020104006</v>
      </c>
      <c r="H85" s="4"/>
      <c r="I85" s="5"/>
    </row>
    <row r="86" spans="1:9" ht="34">
      <c r="A86" s="2">
        <v>83</v>
      </c>
      <c r="B86" s="3" t="s">
        <v>18</v>
      </c>
      <c r="C86" s="3" t="str">
        <f>"政治经济学"</f>
        <v>政治经济学</v>
      </c>
      <c r="D86" s="3" t="str">
        <f>"专业必修课"</f>
        <v>专业必修课</v>
      </c>
      <c r="E86" s="3" t="str">
        <f>"王军"</f>
        <v>王军</v>
      </c>
      <c r="F86" s="3" t="str">
        <f>"杜益"</f>
        <v>杜益</v>
      </c>
      <c r="G86" s="3" t="str">
        <f>"222020101002"</f>
        <v>222020101002</v>
      </c>
      <c r="H86" s="4"/>
      <c r="I86" s="5"/>
    </row>
    <row r="87" spans="1:9" ht="34">
      <c r="A87" s="2">
        <v>84</v>
      </c>
      <c r="B87" s="3" t="s">
        <v>18</v>
      </c>
      <c r="C87" s="3" t="str">
        <f>"宏观经济学（双语）"</f>
        <v>宏观经济学（双语）</v>
      </c>
      <c r="D87" s="3" t="str">
        <f>"大学科基础课"</f>
        <v>大学科基础课</v>
      </c>
      <c r="E87" s="3" t="str">
        <f>"文华成"</f>
        <v>文华成</v>
      </c>
      <c r="F87" s="3" t="str">
        <f>"薛媛"</f>
        <v>薛媛</v>
      </c>
      <c r="G87" s="3" t="str">
        <f>"121020104014"</f>
        <v>121020104014</v>
      </c>
      <c r="H87" s="4"/>
      <c r="I87" s="5"/>
    </row>
    <row r="88" spans="1:9" ht="34">
      <c r="A88" s="2">
        <v>85</v>
      </c>
      <c r="B88" s="3" t="s">
        <v>18</v>
      </c>
      <c r="C88" s="3" t="str">
        <f>"政治经济学"</f>
        <v>政治经济学</v>
      </c>
      <c r="D88" s="3" t="str">
        <f>"大学科基础课"</f>
        <v>大学科基础课</v>
      </c>
      <c r="E88" s="3" t="str">
        <f>"姚常成"</f>
        <v>姚常成</v>
      </c>
      <c r="F88" s="3" t="str">
        <f>"彭骞颖"</f>
        <v>彭骞颖</v>
      </c>
      <c r="G88" s="3" t="str">
        <f>"222020101025"</f>
        <v>222020101025</v>
      </c>
      <c r="H88" s="4"/>
      <c r="I88" s="5"/>
    </row>
    <row r="89" spans="1:9" ht="34">
      <c r="A89" s="2">
        <v>86</v>
      </c>
      <c r="B89" s="3" t="s">
        <v>18</v>
      </c>
      <c r="C89" s="3" t="str">
        <f>"中级微观经济学"</f>
        <v>中级微观经济学</v>
      </c>
      <c r="D89" s="3" t="str">
        <f>"专业方向课"</f>
        <v>专业方向课</v>
      </c>
      <c r="E89" s="3" t="str">
        <f>"张安全"</f>
        <v>张安全</v>
      </c>
      <c r="F89" s="3" t="str">
        <f>"赵琬瑛"</f>
        <v>赵琬瑛</v>
      </c>
      <c r="G89" s="3" t="str">
        <f>"221020201003"</f>
        <v>221020201003</v>
      </c>
      <c r="H89" s="4"/>
      <c r="I89" s="5"/>
    </row>
    <row r="90" spans="1:9" ht="34">
      <c r="A90" s="2">
        <v>87</v>
      </c>
      <c r="B90" s="3" t="s">
        <v>18</v>
      </c>
      <c r="C90" s="3" t="str">
        <f>"宏观经济学"</f>
        <v>宏观经济学</v>
      </c>
      <c r="D90" s="3" t="str">
        <f>"大学科基础课"</f>
        <v>大学科基础课</v>
      </c>
      <c r="E90" s="3" t="str">
        <f>"杨海涛"</f>
        <v>杨海涛</v>
      </c>
      <c r="F90" s="3" t="str">
        <f>"张露露"</f>
        <v>张露露</v>
      </c>
      <c r="G90" s="3" t="str">
        <f>"222020104022"</f>
        <v>222020104022</v>
      </c>
      <c r="H90" s="4"/>
      <c r="I90" s="5"/>
    </row>
    <row r="91" spans="1:9" ht="34">
      <c r="A91" s="2">
        <v>88</v>
      </c>
      <c r="B91" s="3" t="s">
        <v>18</v>
      </c>
      <c r="C91" s="3" t="str">
        <f>"政治经济学"</f>
        <v>政治经济学</v>
      </c>
      <c r="D91" s="3" t="str">
        <f>"专业必修课"</f>
        <v>专业必修课</v>
      </c>
      <c r="E91" s="3" t="str">
        <f>"王军"</f>
        <v>王军</v>
      </c>
      <c r="F91" s="3" t="str">
        <f>"韩轶"</f>
        <v>韩轶</v>
      </c>
      <c r="G91" s="3" t="str">
        <f>"222020101001"</f>
        <v>222020101001</v>
      </c>
      <c r="H91" s="4"/>
      <c r="I91" s="5"/>
    </row>
    <row r="92" spans="1:9" ht="34">
      <c r="A92" s="2">
        <v>89</v>
      </c>
      <c r="B92" s="3" t="s">
        <v>18</v>
      </c>
      <c r="C92" s="3" t="str">
        <f>"宏观经济学"</f>
        <v>宏观经济学</v>
      </c>
      <c r="D92" s="3" t="str">
        <f t="shared" ref="D92:D99" si="6">"大学科基础课"</f>
        <v>大学科基础课</v>
      </c>
      <c r="E92" s="3" t="str">
        <f>"栾炳江"</f>
        <v>栾炳江</v>
      </c>
      <c r="F92" s="3" t="str">
        <f>"马少春"</f>
        <v>马少春</v>
      </c>
      <c r="G92" s="3" t="str">
        <f>"120020101006"</f>
        <v>120020101006</v>
      </c>
      <c r="H92" s="4"/>
      <c r="I92" s="5"/>
    </row>
    <row r="93" spans="1:9" ht="34">
      <c r="A93" s="2">
        <v>90</v>
      </c>
      <c r="B93" s="3" t="s">
        <v>18</v>
      </c>
      <c r="C93" s="3" t="str">
        <f>"宏观经济学"</f>
        <v>宏观经济学</v>
      </c>
      <c r="D93" s="3" t="str">
        <f t="shared" si="6"/>
        <v>大学科基础课</v>
      </c>
      <c r="E93" s="3" t="str">
        <f>"黄俊兵"</f>
        <v>黄俊兵</v>
      </c>
      <c r="F93" s="3" t="str">
        <f>"郑美娟"</f>
        <v>郑美娟</v>
      </c>
      <c r="G93" s="3" t="str">
        <f>"2220201Z2001"</f>
        <v>2220201Z2001</v>
      </c>
      <c r="H93" s="4"/>
      <c r="I93" s="5"/>
    </row>
    <row r="94" spans="1:9" ht="34">
      <c r="A94" s="2">
        <v>91</v>
      </c>
      <c r="B94" s="3" t="s">
        <v>18</v>
      </c>
      <c r="C94" s="3" t="str">
        <f>"政治经济学"</f>
        <v>政治经济学</v>
      </c>
      <c r="D94" s="3" t="str">
        <f t="shared" si="6"/>
        <v>大学科基础课</v>
      </c>
      <c r="E94" s="3" t="str">
        <f>"刘璐"</f>
        <v>刘璐</v>
      </c>
      <c r="F94" s="3" t="str">
        <f>"晏宇翔"</f>
        <v>晏宇翔</v>
      </c>
      <c r="G94" s="3" t="str">
        <f>"221020101028"</f>
        <v>221020101028</v>
      </c>
      <c r="H94" s="4"/>
      <c r="I94" s="5"/>
    </row>
    <row r="95" spans="1:9" ht="34">
      <c r="A95" s="2">
        <v>92</v>
      </c>
      <c r="B95" s="3" t="s">
        <v>18</v>
      </c>
      <c r="C95" s="3" t="str">
        <f>"宏观经济学"</f>
        <v>宏观经济学</v>
      </c>
      <c r="D95" s="3" t="str">
        <f t="shared" si="6"/>
        <v>大学科基础课</v>
      </c>
      <c r="E95" s="3" t="str">
        <f>"陈晓玲"</f>
        <v>陈晓玲</v>
      </c>
      <c r="F95" s="3" t="str">
        <f>"陈静宇"</f>
        <v>陈静宇</v>
      </c>
      <c r="G95" s="3" t="str">
        <f>"2220201Z2002"</f>
        <v>2220201Z2002</v>
      </c>
      <c r="H95" s="4"/>
      <c r="I95" s="5"/>
    </row>
    <row r="96" spans="1:9" ht="34">
      <c r="A96" s="2">
        <v>93</v>
      </c>
      <c r="B96" s="3" t="s">
        <v>18</v>
      </c>
      <c r="C96" s="3" t="str">
        <f>"宏观经济学"</f>
        <v>宏观经济学</v>
      </c>
      <c r="D96" s="3" t="str">
        <f t="shared" si="6"/>
        <v>大学科基础课</v>
      </c>
      <c r="E96" s="3" t="str">
        <f>"杨慧玲"</f>
        <v>杨慧玲</v>
      </c>
      <c r="F96" s="3" t="str">
        <f>"张振继"</f>
        <v>张振继</v>
      </c>
      <c r="G96" s="3" t="str">
        <f>"122020101001"</f>
        <v>122020101001</v>
      </c>
      <c r="H96" s="4"/>
      <c r="I96" s="5"/>
    </row>
    <row r="97" spans="1:9" ht="34">
      <c r="A97" s="2">
        <v>94</v>
      </c>
      <c r="B97" s="3" t="s">
        <v>18</v>
      </c>
      <c r="C97" s="3" t="str">
        <f>"宏观经济学"</f>
        <v>宏观经济学</v>
      </c>
      <c r="D97" s="3" t="str">
        <f t="shared" si="6"/>
        <v>大学科基础课</v>
      </c>
      <c r="E97" s="3" t="str">
        <f>"王爱伦"</f>
        <v>王爱伦</v>
      </c>
      <c r="F97" s="3" t="str">
        <f>"朱梅"</f>
        <v>朱梅</v>
      </c>
      <c r="G97" s="3" t="str">
        <f>"222020105010"</f>
        <v>222020105010</v>
      </c>
      <c r="H97" s="4"/>
      <c r="I97" s="5"/>
    </row>
    <row r="98" spans="1:9" ht="34">
      <c r="A98" s="2">
        <v>95</v>
      </c>
      <c r="B98" s="3" t="s">
        <v>18</v>
      </c>
      <c r="C98" s="3" t="str">
        <f>"政治经济学"</f>
        <v>政治经济学</v>
      </c>
      <c r="D98" s="3" t="str">
        <f t="shared" si="6"/>
        <v>大学科基础课</v>
      </c>
      <c r="E98" s="3" t="str">
        <f>"葛浩阳"</f>
        <v>葛浩阳</v>
      </c>
      <c r="F98" s="3" t="str">
        <f>"黄南妮"</f>
        <v>黄南妮</v>
      </c>
      <c r="G98" s="3" t="str">
        <f>"221020101018"</f>
        <v>221020101018</v>
      </c>
      <c r="H98" s="4"/>
      <c r="I98" s="5"/>
    </row>
    <row r="99" spans="1:9" ht="34">
      <c r="A99" s="2">
        <v>96</v>
      </c>
      <c r="B99" s="3" t="s">
        <v>18</v>
      </c>
      <c r="C99" s="3" t="str">
        <f>"宏观经济学"</f>
        <v>宏观经济学</v>
      </c>
      <c r="D99" s="3" t="str">
        <f t="shared" si="6"/>
        <v>大学科基础课</v>
      </c>
      <c r="E99" s="3" t="str">
        <f>"邹红"</f>
        <v>邹红</v>
      </c>
      <c r="F99" s="3" t="str">
        <f>"洪威"</f>
        <v>洪威</v>
      </c>
      <c r="G99" s="3" t="str">
        <f>"121020104005"</f>
        <v>121020104005</v>
      </c>
      <c r="H99" s="4"/>
      <c r="I99" s="5"/>
    </row>
    <row r="100" spans="1:9" ht="34">
      <c r="A100" s="2">
        <v>97</v>
      </c>
      <c r="B100" s="3" t="s">
        <v>18</v>
      </c>
      <c r="C100" s="3" t="str">
        <f>"中级宏观经济学"</f>
        <v>中级宏观经济学</v>
      </c>
      <c r="D100" s="3" t="str">
        <f>"专业方向课"</f>
        <v>专业方向课</v>
      </c>
      <c r="E100" s="3" t="str">
        <f>"陈师"</f>
        <v>陈师</v>
      </c>
      <c r="F100" s="3" t="str">
        <f>"赵永洪"</f>
        <v>赵永洪</v>
      </c>
      <c r="G100" s="3" t="str">
        <f>"121020101001"</f>
        <v>121020101001</v>
      </c>
      <c r="H100" s="4"/>
      <c r="I100" s="5"/>
    </row>
    <row r="101" spans="1:9" ht="34">
      <c r="A101" s="2">
        <v>98</v>
      </c>
      <c r="B101" s="3" t="s">
        <v>18</v>
      </c>
      <c r="C101" s="3" t="str">
        <f>"发展经济学MOOC"</f>
        <v>发展经济学MOOC</v>
      </c>
      <c r="D101" s="3" t="str">
        <f>"慕课"</f>
        <v>慕课</v>
      </c>
      <c r="E101" s="3" t="str">
        <f>"蔡晓陈"</f>
        <v>蔡晓陈</v>
      </c>
      <c r="F101" s="3" t="str">
        <f>"赵杰"</f>
        <v>赵杰</v>
      </c>
      <c r="G101" s="3" t="str">
        <f>"2210201Z2002"</f>
        <v>2210201Z2002</v>
      </c>
      <c r="H101" s="4"/>
      <c r="I101" s="5"/>
    </row>
    <row r="102" spans="1:9" ht="34">
      <c r="A102" s="2">
        <v>99</v>
      </c>
      <c r="B102" s="3" t="s">
        <v>18</v>
      </c>
      <c r="C102" s="3" t="str">
        <f>"宏观经济学"</f>
        <v>宏观经济学</v>
      </c>
      <c r="D102" s="3" t="str">
        <f t="shared" ref="D102:D109" si="7">"大学科基础课"</f>
        <v>大学科基础课</v>
      </c>
      <c r="E102" s="3" t="str">
        <f>"陈晓玲"</f>
        <v>陈晓玲</v>
      </c>
      <c r="F102" s="3" t="str">
        <f>"王林林"</f>
        <v>王林林</v>
      </c>
      <c r="G102" s="3" t="str">
        <f>"221020104016"</f>
        <v>221020104016</v>
      </c>
      <c r="H102" s="4"/>
      <c r="I102" s="5"/>
    </row>
    <row r="103" spans="1:9" ht="34">
      <c r="A103" s="2">
        <v>100</v>
      </c>
      <c r="B103" s="3" t="s">
        <v>18</v>
      </c>
      <c r="C103" s="3" t="str">
        <f>"宏观经济学（双语）"</f>
        <v>宏观经济学（双语）</v>
      </c>
      <c r="D103" s="3" t="str">
        <f t="shared" si="7"/>
        <v>大学科基础课</v>
      </c>
      <c r="E103" s="3" t="str">
        <f>"文华成"</f>
        <v>文华成</v>
      </c>
      <c r="F103" s="3" t="str">
        <f>"王寅苏"</f>
        <v>王寅苏</v>
      </c>
      <c r="G103" s="3" t="str">
        <f>"120020106001"</f>
        <v>120020106001</v>
      </c>
      <c r="H103" s="4"/>
      <c r="I103" s="5"/>
    </row>
    <row r="104" spans="1:9" ht="34">
      <c r="A104" s="2">
        <v>101</v>
      </c>
      <c r="B104" s="3" t="s">
        <v>18</v>
      </c>
      <c r="C104" s="3" t="str">
        <f>"数字经济学"</f>
        <v>数字经济学</v>
      </c>
      <c r="D104" s="3" t="str">
        <f t="shared" si="7"/>
        <v>大学科基础课</v>
      </c>
      <c r="E104" s="3" t="str">
        <f>"刘璐"</f>
        <v>刘璐</v>
      </c>
      <c r="F104" s="3" t="str">
        <f>"唐湘"</f>
        <v>唐湘</v>
      </c>
      <c r="G104" s="3" t="str">
        <f>"122020101002"</f>
        <v>122020101002</v>
      </c>
      <c r="H104" s="4"/>
      <c r="I104" s="5"/>
    </row>
    <row r="105" spans="1:9" ht="34">
      <c r="A105" s="2">
        <v>102</v>
      </c>
      <c r="B105" s="3" t="s">
        <v>18</v>
      </c>
      <c r="C105" s="3" t="str">
        <f>"微观经济学"</f>
        <v>微观经济学</v>
      </c>
      <c r="D105" s="3" t="str">
        <f t="shared" si="7"/>
        <v>大学科基础课</v>
      </c>
      <c r="E105" s="3" t="str">
        <f>"鲁利民"</f>
        <v>鲁利民</v>
      </c>
      <c r="F105" s="3" t="str">
        <f>"官卫美"</f>
        <v>官卫美</v>
      </c>
      <c r="G105" s="3" t="str">
        <f>"222020104025"</f>
        <v>222020104025</v>
      </c>
      <c r="H105" s="4"/>
      <c r="I105" s="5"/>
    </row>
    <row r="106" spans="1:9" ht="34">
      <c r="A106" s="2">
        <v>103</v>
      </c>
      <c r="B106" s="3" t="s">
        <v>18</v>
      </c>
      <c r="C106" s="3" t="str">
        <f>"微观经济学"</f>
        <v>微观经济学</v>
      </c>
      <c r="D106" s="3" t="str">
        <f t="shared" si="7"/>
        <v>大学科基础课</v>
      </c>
      <c r="E106" s="3" t="str">
        <f>"张凯霞"</f>
        <v>张凯霞</v>
      </c>
      <c r="F106" s="3" t="str">
        <f>"施颖怡"</f>
        <v>施颖怡</v>
      </c>
      <c r="G106" s="3" t="str">
        <f>"2220201Z2003"</f>
        <v>2220201Z2003</v>
      </c>
      <c r="H106" s="4"/>
      <c r="I106" s="5"/>
    </row>
    <row r="107" spans="1:9" ht="34">
      <c r="A107" s="2">
        <v>104</v>
      </c>
      <c r="B107" s="3" t="s">
        <v>18</v>
      </c>
      <c r="C107" s="3" t="str">
        <f>"政治经济学"</f>
        <v>政治经济学</v>
      </c>
      <c r="D107" s="3" t="str">
        <f t="shared" si="7"/>
        <v>大学科基础课</v>
      </c>
      <c r="E107" s="3" t="str">
        <f>"田世野"</f>
        <v>田世野</v>
      </c>
      <c r="F107" s="3" t="str">
        <f>"马雪"</f>
        <v>马雪</v>
      </c>
      <c r="G107" s="3" t="str">
        <f>"222020101004"</f>
        <v>222020101004</v>
      </c>
      <c r="H107" s="4"/>
      <c r="I107" s="5"/>
    </row>
    <row r="108" spans="1:9" ht="34">
      <c r="A108" s="2">
        <v>105</v>
      </c>
      <c r="B108" s="3" t="s">
        <v>18</v>
      </c>
      <c r="C108" s="3" t="str">
        <f>"宏观经济学"</f>
        <v>宏观经济学</v>
      </c>
      <c r="D108" s="3" t="str">
        <f t="shared" si="7"/>
        <v>大学科基础课</v>
      </c>
      <c r="E108" s="3" t="str">
        <f>"杨海涛"</f>
        <v>杨海涛</v>
      </c>
      <c r="F108" s="3" t="str">
        <f>"严晶"</f>
        <v>严晶</v>
      </c>
      <c r="G108" s="3" t="str">
        <f>"222020104023"</f>
        <v>222020104023</v>
      </c>
      <c r="H108" s="4"/>
      <c r="I108" s="5"/>
    </row>
    <row r="109" spans="1:9" ht="34">
      <c r="A109" s="2">
        <v>106</v>
      </c>
      <c r="B109" s="3" t="s">
        <v>18</v>
      </c>
      <c r="C109" s="3" t="str">
        <f>"政治经济学"</f>
        <v>政治经济学</v>
      </c>
      <c r="D109" s="3" t="str">
        <f t="shared" si="7"/>
        <v>大学科基础课</v>
      </c>
      <c r="E109" s="3" t="str">
        <f>"徐志向"</f>
        <v>徐志向</v>
      </c>
      <c r="F109" s="3" t="str">
        <f>"易恩文"</f>
        <v>易恩文</v>
      </c>
      <c r="G109" s="3" t="str">
        <f>"120020101001"</f>
        <v>120020101001</v>
      </c>
      <c r="H109" s="4"/>
      <c r="I109" s="5"/>
    </row>
    <row r="110" spans="1:9" ht="34">
      <c r="A110" s="2">
        <v>107</v>
      </c>
      <c r="B110" s="3" t="s">
        <v>18</v>
      </c>
      <c r="C110" s="3" t="str">
        <f>"中级宏观经济学MOOC"</f>
        <v>中级宏观经济学MOOC</v>
      </c>
      <c r="D110" s="3" t="str">
        <f>"慕课"</f>
        <v>慕课</v>
      </c>
      <c r="E110" s="3" t="str">
        <f>"陈师"</f>
        <v>陈师</v>
      </c>
      <c r="F110" s="3" t="str">
        <f>"关文晋"</f>
        <v>关文晋</v>
      </c>
      <c r="G110" s="3" t="str">
        <f>"122020101005"</f>
        <v>122020101005</v>
      </c>
      <c r="H110" s="4"/>
      <c r="I110" s="5"/>
    </row>
    <row r="111" spans="1:9" ht="34">
      <c r="A111" s="2">
        <v>108</v>
      </c>
      <c r="B111" s="3" t="s">
        <v>18</v>
      </c>
      <c r="C111" s="3" t="str">
        <f>"微观经济学"</f>
        <v>微观经济学</v>
      </c>
      <c r="D111" s="3" t="str">
        <f>"大学科基础课"</f>
        <v>大学科基础课</v>
      </c>
      <c r="E111" s="3" t="str">
        <f>"程瑶"</f>
        <v>程瑶</v>
      </c>
      <c r="F111" s="3" t="str">
        <f>"刘子晴"</f>
        <v>刘子晴</v>
      </c>
      <c r="G111" s="3" t="str">
        <f>"222020104021"</f>
        <v>222020104021</v>
      </c>
      <c r="H111" s="4"/>
      <c r="I111" s="5"/>
    </row>
    <row r="112" spans="1:9" ht="34">
      <c r="A112" s="2">
        <v>109</v>
      </c>
      <c r="B112" s="3" t="s">
        <v>18</v>
      </c>
      <c r="C112" s="3" t="str">
        <f>"微观经济学"</f>
        <v>微观经济学</v>
      </c>
      <c r="D112" s="3" t="str">
        <f>"大学科基础课"</f>
        <v>大学科基础课</v>
      </c>
      <c r="E112" s="3" t="str">
        <f>"高云舒"</f>
        <v>高云舒</v>
      </c>
      <c r="F112" s="3" t="str">
        <f>"曾洁"</f>
        <v>曾洁</v>
      </c>
      <c r="G112" s="3" t="str">
        <f>"222020105005"</f>
        <v>222020105005</v>
      </c>
      <c r="H112" s="4"/>
      <c r="I112" s="5"/>
    </row>
    <row r="113" spans="1:9" ht="34">
      <c r="A113" s="2">
        <v>110</v>
      </c>
      <c r="B113" s="3" t="s">
        <v>18</v>
      </c>
      <c r="C113" s="3" t="str">
        <f>"政治经济学"</f>
        <v>政治经济学</v>
      </c>
      <c r="D113" s="3" t="str">
        <f>"大学科基础课"</f>
        <v>大学科基础课</v>
      </c>
      <c r="E113" s="3" t="str">
        <f>"姚常成"</f>
        <v>姚常成</v>
      </c>
      <c r="F113" s="3" t="str">
        <f>"张婧歆"</f>
        <v>张婧歆</v>
      </c>
      <c r="G113" s="3" t="str">
        <f>"222020101021"</f>
        <v>222020101021</v>
      </c>
      <c r="H113" s="4"/>
      <c r="I113" s="5"/>
    </row>
    <row r="114" spans="1:9" ht="34">
      <c r="A114" s="2">
        <v>111</v>
      </c>
      <c r="B114" s="3" t="s">
        <v>18</v>
      </c>
      <c r="C114" s="3" t="str">
        <f>"微观经济学"</f>
        <v>微观经济学</v>
      </c>
      <c r="D114" s="3" t="str">
        <f>"大学科基础课"</f>
        <v>大学科基础课</v>
      </c>
      <c r="E114" s="3" t="str">
        <f>"袁正"</f>
        <v>袁正</v>
      </c>
      <c r="F114" s="3" t="str">
        <f>"杨桂月"</f>
        <v>杨桂月</v>
      </c>
      <c r="G114" s="3" t="str">
        <f>"222020104008"</f>
        <v>222020104008</v>
      </c>
      <c r="H114" s="4"/>
      <c r="I114" s="5"/>
    </row>
    <row r="115" spans="1:9" ht="34">
      <c r="A115" s="2">
        <v>112</v>
      </c>
      <c r="B115" s="3" t="s">
        <v>19</v>
      </c>
      <c r="C115" s="3" t="str">
        <f>"数据分析与统计软件"</f>
        <v>数据分析与统计软件</v>
      </c>
      <c r="D115" s="3" t="str">
        <f>"大学科基础课"</f>
        <v>大学科基础课</v>
      </c>
      <c r="E115" s="3" t="str">
        <f>"夏一鸣"</f>
        <v>夏一鸣</v>
      </c>
      <c r="F115" s="3" t="str">
        <f>"周骁遥"</f>
        <v>周骁遥</v>
      </c>
      <c r="G115" s="3" t="str">
        <f>"121020104015"</f>
        <v>121020104015</v>
      </c>
      <c r="H115" s="4"/>
      <c r="I115" s="5"/>
    </row>
    <row r="116" spans="1:9" ht="34">
      <c r="A116" s="2">
        <v>113</v>
      </c>
      <c r="B116" s="3" t="s">
        <v>19</v>
      </c>
      <c r="C116" s="3" t="str">
        <f>"计量经济学（英）"</f>
        <v>计量经济学（英）</v>
      </c>
      <c r="D116" s="3" t="str">
        <f>"专业必修课"</f>
        <v>专业必修课</v>
      </c>
      <c r="E116" s="3" t="str">
        <f>"雷蕾"</f>
        <v>雷蕾</v>
      </c>
      <c r="F116" s="3" t="str">
        <f>"何雨可"</f>
        <v>何雨可</v>
      </c>
      <c r="G116" s="3" t="str">
        <f>"121020104013"</f>
        <v>121020104013</v>
      </c>
      <c r="H116" s="4"/>
      <c r="I116" s="5"/>
    </row>
    <row r="117" spans="1:9" ht="34">
      <c r="A117" s="2">
        <v>114</v>
      </c>
      <c r="B117" s="3" t="s">
        <v>20</v>
      </c>
      <c r="C117" s="3" t="str">
        <f>"中国近现代史纲要"</f>
        <v>中国近现代史纲要</v>
      </c>
      <c r="D117" s="3" t="str">
        <f t="shared" ref="D117:D123" si="8">"通识基础课"</f>
        <v>通识基础课</v>
      </c>
      <c r="E117" s="3" t="str">
        <f>"贾国雄"</f>
        <v>贾国雄</v>
      </c>
      <c r="F117" s="3" t="str">
        <f>"陈新月"</f>
        <v>陈新月</v>
      </c>
      <c r="G117" s="3" t="str">
        <f>"221030503001"</f>
        <v>221030503001</v>
      </c>
      <c r="H117" s="4"/>
      <c r="I117" s="5"/>
    </row>
    <row r="118" spans="1:9" ht="34">
      <c r="A118" s="2">
        <v>115</v>
      </c>
      <c r="B118" s="3" t="s">
        <v>21</v>
      </c>
      <c r="C118" s="3" t="str">
        <f>"数学分析Ⅱ（理科）"</f>
        <v>数学分析Ⅱ（理科）</v>
      </c>
      <c r="D118" s="3" t="str">
        <f t="shared" si="8"/>
        <v>通识基础课</v>
      </c>
      <c r="E118" s="3" t="str">
        <f>"崔红卫"</f>
        <v>崔红卫</v>
      </c>
      <c r="F118" s="3" t="str">
        <f>"李桂鋆"</f>
        <v>李桂鋆</v>
      </c>
      <c r="G118" s="3" t="str">
        <f>"221020204022"</f>
        <v>221020204022</v>
      </c>
      <c r="H118" s="4"/>
      <c r="I118" s="5"/>
    </row>
    <row r="119" spans="1:9" ht="34">
      <c r="A119" s="2">
        <v>116</v>
      </c>
      <c r="B119" s="3" t="s">
        <v>21</v>
      </c>
      <c r="C119" s="3" t="str">
        <f>"高等代数Ⅱ"</f>
        <v>高等代数Ⅱ</v>
      </c>
      <c r="D119" s="3" t="str">
        <f t="shared" si="8"/>
        <v>通识基础课</v>
      </c>
      <c r="E119" s="3" t="str">
        <f>"林可"</f>
        <v>林可</v>
      </c>
      <c r="F119" s="3" t="str">
        <f>"张婷婷"</f>
        <v>张婷婷</v>
      </c>
      <c r="G119" s="3" t="str">
        <f>"1200202Z1002"</f>
        <v>1200202Z1002</v>
      </c>
      <c r="H119" s="4"/>
      <c r="I119" s="5"/>
    </row>
    <row r="120" spans="1:9" ht="34">
      <c r="A120" s="2">
        <v>117</v>
      </c>
      <c r="B120" s="3" t="s">
        <v>21</v>
      </c>
      <c r="C120" s="3" t="str">
        <f>"高等数学Ⅱ"</f>
        <v>高等数学Ⅱ</v>
      </c>
      <c r="D120" s="3" t="str">
        <f t="shared" si="8"/>
        <v>通识基础课</v>
      </c>
      <c r="E120" s="3" t="str">
        <f>"余喜生"</f>
        <v>余喜生</v>
      </c>
      <c r="F120" s="3" t="str">
        <f>"刘越"</f>
        <v>刘越</v>
      </c>
      <c r="G120" s="3" t="str">
        <f>"220070100018"</f>
        <v>220070100018</v>
      </c>
      <c r="H120" s="4"/>
      <c r="I120" s="5"/>
    </row>
    <row r="121" spans="1:9" ht="34">
      <c r="A121" s="2">
        <v>118</v>
      </c>
      <c r="B121" s="3" t="s">
        <v>21</v>
      </c>
      <c r="C121" s="3" t="str">
        <f>"高等数学Ⅱ"</f>
        <v>高等数学Ⅱ</v>
      </c>
      <c r="D121" s="3" t="str">
        <f t="shared" si="8"/>
        <v>通识基础课</v>
      </c>
      <c r="E121" s="3" t="str">
        <f>"谢果"</f>
        <v>谢果</v>
      </c>
      <c r="F121" s="3" t="str">
        <f>"彭卓"</f>
        <v>彭卓</v>
      </c>
      <c r="G121" s="3" t="str">
        <f>"121020101002"</f>
        <v>121020101002</v>
      </c>
      <c r="H121" s="4"/>
      <c r="I121" s="5"/>
    </row>
    <row r="122" spans="1:9" ht="34">
      <c r="A122" s="2">
        <v>119</v>
      </c>
      <c r="B122" s="3" t="s">
        <v>21</v>
      </c>
      <c r="C122" s="3" t="str">
        <f>"高等代数Ⅱ"</f>
        <v>高等代数Ⅱ</v>
      </c>
      <c r="D122" s="3" t="str">
        <f t="shared" si="8"/>
        <v>通识基础课</v>
      </c>
      <c r="E122" s="3" t="str">
        <f>"韩本三"</f>
        <v>韩本三</v>
      </c>
      <c r="F122" s="3" t="str">
        <f>"曹增敏"</f>
        <v>曹增敏</v>
      </c>
      <c r="G122" s="3" t="str">
        <f>"121020206004"</f>
        <v>121020206004</v>
      </c>
      <c r="H122" s="4"/>
      <c r="I122" s="5"/>
    </row>
    <row r="123" spans="1:9" ht="34">
      <c r="A123" s="2">
        <v>120</v>
      </c>
      <c r="B123" s="3" t="s">
        <v>21</v>
      </c>
      <c r="C123" s="3" t="str">
        <f>"多元微积分"</f>
        <v>多元微积分</v>
      </c>
      <c r="D123" s="3" t="str">
        <f t="shared" si="8"/>
        <v>通识基础课</v>
      </c>
      <c r="E123" s="3" t="str">
        <f>"代宏霞"</f>
        <v>代宏霞</v>
      </c>
      <c r="F123" s="3" t="str">
        <f>"童静"</f>
        <v>童静</v>
      </c>
      <c r="G123" s="3" t="str">
        <f>"220070100019"</f>
        <v>220070100019</v>
      </c>
      <c r="H123" s="4"/>
      <c r="I123" s="5"/>
    </row>
    <row r="124" spans="1:9" ht="34">
      <c r="A124" s="2">
        <v>121</v>
      </c>
      <c r="B124" s="3" t="s">
        <v>21</v>
      </c>
      <c r="C124" s="3" t="str">
        <f>"实变函数论"</f>
        <v>实变函数论</v>
      </c>
      <c r="D124" s="3" t="str">
        <f>"大学科基础课"</f>
        <v>大学科基础课</v>
      </c>
      <c r="E124" s="3" t="str">
        <f>"桑元琦"</f>
        <v>桑元琦</v>
      </c>
      <c r="F124" s="3" t="str">
        <f>"林珍梅"</f>
        <v>林珍梅</v>
      </c>
      <c r="G124" s="3" t="str">
        <f>"1210202Z1006"</f>
        <v>1210202Z1006</v>
      </c>
      <c r="H124" s="4"/>
      <c r="I124" s="5"/>
    </row>
    <row r="125" spans="1:9" ht="34">
      <c r="A125" s="2">
        <v>122</v>
      </c>
      <c r="B125" s="3" t="s">
        <v>21</v>
      </c>
      <c r="C125" s="3" t="str">
        <f>"数理统计"</f>
        <v>数理统计</v>
      </c>
      <c r="D125" s="3" t="str">
        <f>"大学科基础课"</f>
        <v>大学科基础课</v>
      </c>
      <c r="E125" s="3" t="str">
        <f>"李绍文"</f>
        <v>李绍文</v>
      </c>
      <c r="F125" s="3" t="str">
        <f>"刘瑶"</f>
        <v>刘瑶</v>
      </c>
      <c r="G125" s="3" t="str">
        <f>"2220202Z1018"</f>
        <v>2220202Z1018</v>
      </c>
      <c r="H125" s="4"/>
      <c r="I125" s="5"/>
    </row>
    <row r="126" spans="1:9" ht="34">
      <c r="A126" s="2">
        <v>123</v>
      </c>
      <c r="B126" s="3" t="s">
        <v>21</v>
      </c>
      <c r="C126" s="3" t="str">
        <f>"高等数学Ⅱ"</f>
        <v>高等数学Ⅱ</v>
      </c>
      <c r="D126" s="3" t="str">
        <f>"通识基础课"</f>
        <v>通识基础课</v>
      </c>
      <c r="E126" s="3" t="str">
        <f>"李楠"</f>
        <v>李楠</v>
      </c>
      <c r="F126" s="3" t="str">
        <f>"段小玉"</f>
        <v>段小玉</v>
      </c>
      <c r="G126" s="3" t="str">
        <f>"221020101026"</f>
        <v>221020101026</v>
      </c>
      <c r="H126" s="4"/>
      <c r="I126" s="5"/>
    </row>
    <row r="127" spans="1:9" ht="34">
      <c r="A127" s="2">
        <v>124</v>
      </c>
      <c r="B127" s="3" t="s">
        <v>21</v>
      </c>
      <c r="C127" s="3" t="str">
        <f>"高等数学Ⅱ"</f>
        <v>高等数学Ⅱ</v>
      </c>
      <c r="D127" s="3" t="str">
        <f>"通识基础课"</f>
        <v>通识基础课</v>
      </c>
      <c r="E127" s="3" t="str">
        <f>"代宏霞"</f>
        <v>代宏霞</v>
      </c>
      <c r="F127" s="3" t="str">
        <f>"李帅龙"</f>
        <v>李帅龙</v>
      </c>
      <c r="G127" s="3" t="str">
        <f>"2220202Z1011"</f>
        <v>2220202Z1011</v>
      </c>
      <c r="H127" s="4"/>
      <c r="I127" s="5"/>
    </row>
    <row r="128" spans="1:9" ht="34">
      <c r="A128" s="2">
        <v>125</v>
      </c>
      <c r="B128" s="3" t="s">
        <v>21</v>
      </c>
      <c r="C128" s="3" t="str">
        <f>"最优化理论与信息论"</f>
        <v>最优化理论与信息论</v>
      </c>
      <c r="D128" s="3" t="str">
        <f>"通识基础课"</f>
        <v>通识基础课</v>
      </c>
      <c r="E128" s="3" t="str">
        <f>"王天明"</f>
        <v>王天明</v>
      </c>
      <c r="F128" s="3" t="str">
        <f>"余毅翔"</f>
        <v>余毅翔</v>
      </c>
      <c r="G128" s="3" t="str">
        <f>"120020104010"</f>
        <v>120020104010</v>
      </c>
      <c r="H128" s="4"/>
      <c r="I128" s="5"/>
    </row>
    <row r="129" spans="1:9" ht="34">
      <c r="A129" s="2">
        <v>126</v>
      </c>
      <c r="B129" s="3" t="s">
        <v>21</v>
      </c>
      <c r="C129" s="3" t="str">
        <f>"高等代数Ⅱ"</f>
        <v>高等代数Ⅱ</v>
      </c>
      <c r="D129" s="3" t="str">
        <f>"通识基础课"</f>
        <v>通识基础课</v>
      </c>
      <c r="E129" s="3" t="str">
        <f>"曾嵘"</f>
        <v>曾嵘</v>
      </c>
      <c r="F129" s="3" t="str">
        <f>"陈泽"</f>
        <v>陈泽</v>
      </c>
      <c r="G129" s="3" t="str">
        <f>"221070100016"</f>
        <v>221070100016</v>
      </c>
      <c r="H129" s="4"/>
      <c r="I129" s="5"/>
    </row>
    <row r="130" spans="1:9" ht="34">
      <c r="A130" s="2">
        <v>127</v>
      </c>
      <c r="B130" s="3" t="s">
        <v>21</v>
      </c>
      <c r="C130" s="3" t="str">
        <f>"数学分析Ⅱ（理科）"</f>
        <v>数学分析Ⅱ（理科）</v>
      </c>
      <c r="D130" s="3" t="str">
        <f>"通识基础课"</f>
        <v>通识基础课</v>
      </c>
      <c r="E130" s="3" t="str">
        <f>"邓汝良"</f>
        <v>邓汝良</v>
      </c>
      <c r="F130" s="3" t="str">
        <f>"张涵"</f>
        <v>张涵</v>
      </c>
      <c r="G130" s="3" t="str">
        <f>"1210202Z2003"</f>
        <v>1210202Z2003</v>
      </c>
      <c r="H130" s="4"/>
      <c r="I130" s="5"/>
    </row>
    <row r="131" spans="1:9" ht="34">
      <c r="A131" s="2">
        <v>128</v>
      </c>
      <c r="B131" s="3" t="s">
        <v>21</v>
      </c>
      <c r="C131" s="3" t="str">
        <f>"数理统计"</f>
        <v>数理统计</v>
      </c>
      <c r="D131" s="3" t="str">
        <f>"大学科基础课"</f>
        <v>大学科基础课</v>
      </c>
      <c r="E131" s="3" t="str">
        <f>"李绍文"</f>
        <v>李绍文</v>
      </c>
      <c r="F131" s="3" t="str">
        <f>"王昭君"</f>
        <v>王昭君</v>
      </c>
      <c r="G131" s="3" t="str">
        <f>"2210202Z1013"</f>
        <v>2210202Z1013</v>
      </c>
      <c r="H131" s="4"/>
      <c r="I131" s="5"/>
    </row>
    <row r="132" spans="1:9" ht="34">
      <c r="A132" s="2">
        <v>129</v>
      </c>
      <c r="B132" s="3" t="s">
        <v>21</v>
      </c>
      <c r="C132" s="3" t="str">
        <f>"微分方程数值解"</f>
        <v>微分方程数值解</v>
      </c>
      <c r="D132" s="3" t="str">
        <f>"专业方向课"</f>
        <v>专业方向课</v>
      </c>
      <c r="E132" s="3" t="str">
        <f>"陈善镇"</f>
        <v>陈善镇</v>
      </c>
      <c r="F132" s="3" t="str">
        <f>"徐晓庆"</f>
        <v>徐晓庆</v>
      </c>
      <c r="G132" s="3" t="str">
        <f>"118120204002"</f>
        <v>118120204002</v>
      </c>
      <c r="H132" s="4"/>
      <c r="I132" s="5"/>
    </row>
    <row r="133" spans="1:9" ht="34">
      <c r="A133" s="2">
        <v>130</v>
      </c>
      <c r="B133" s="3" t="s">
        <v>21</v>
      </c>
      <c r="C133" s="3" t="str">
        <f>"高等数学Ⅰ（重修）"</f>
        <v>高等数学Ⅰ（重修）</v>
      </c>
      <c r="D133" s="3" t="str">
        <f t="shared" ref="D133:D138" si="9">"通识基础课"</f>
        <v>通识基础课</v>
      </c>
      <c r="E133" s="3" t="str">
        <f>"梁浩"</f>
        <v>梁浩</v>
      </c>
      <c r="F133" s="3" t="str">
        <f>"谢贻美"</f>
        <v>谢贻美</v>
      </c>
      <c r="G133" s="3" t="str">
        <f>"1190202Z1010"</f>
        <v>1190202Z1010</v>
      </c>
      <c r="H133" s="4"/>
      <c r="I133" s="5"/>
    </row>
    <row r="134" spans="1:9" ht="34">
      <c r="A134" s="2">
        <v>131</v>
      </c>
      <c r="B134" s="3" t="s">
        <v>21</v>
      </c>
      <c r="C134" s="3" t="str">
        <f>"数学分析Ⅱ（理科）"</f>
        <v>数学分析Ⅱ（理科）</v>
      </c>
      <c r="D134" s="3" t="str">
        <f t="shared" si="9"/>
        <v>通识基础课</v>
      </c>
      <c r="E134" s="3" t="str">
        <f>"黎伟"</f>
        <v>黎伟</v>
      </c>
      <c r="F134" s="3" t="str">
        <f>"余澜"</f>
        <v>余澜</v>
      </c>
      <c r="G134" s="3" t="str">
        <f>"121020208004"</f>
        <v>121020208004</v>
      </c>
      <c r="H134" s="4"/>
      <c r="I134" s="5"/>
    </row>
    <row r="135" spans="1:9" ht="34">
      <c r="A135" s="2">
        <v>132</v>
      </c>
      <c r="B135" s="3" t="s">
        <v>21</v>
      </c>
      <c r="C135" s="3" t="str">
        <f>"高等数学Ⅱ"</f>
        <v>高等数学Ⅱ</v>
      </c>
      <c r="D135" s="3" t="str">
        <f t="shared" si="9"/>
        <v>通识基础课</v>
      </c>
      <c r="E135" s="3" t="str">
        <f>"代宏霞"</f>
        <v>代宏霞</v>
      </c>
      <c r="F135" s="3" t="str">
        <f>"雍宏坤"</f>
        <v>雍宏坤</v>
      </c>
      <c r="G135" s="3" t="str">
        <f>"222070100010"</f>
        <v>222070100010</v>
      </c>
      <c r="H135" s="4"/>
      <c r="I135" s="5"/>
    </row>
    <row r="136" spans="1:9" ht="34">
      <c r="A136" s="2">
        <v>133</v>
      </c>
      <c r="B136" s="3" t="s">
        <v>21</v>
      </c>
      <c r="C136" s="3" t="str">
        <f>"高等数学Ⅱ"</f>
        <v>高等数学Ⅱ</v>
      </c>
      <c r="D136" s="3" t="str">
        <f t="shared" si="9"/>
        <v>通识基础课</v>
      </c>
      <c r="E136" s="3" t="str">
        <f>"张清邦"</f>
        <v>张清邦</v>
      </c>
      <c r="F136" s="3" t="str">
        <f>"刘灏阳"</f>
        <v>刘灏阳</v>
      </c>
      <c r="G136" s="3" t="str">
        <f>"221070100010"</f>
        <v>221070100010</v>
      </c>
      <c r="H136" s="4"/>
      <c r="I136" s="5"/>
    </row>
    <row r="137" spans="1:9" ht="34">
      <c r="A137" s="2">
        <v>134</v>
      </c>
      <c r="B137" s="3" t="s">
        <v>21</v>
      </c>
      <c r="C137" s="3" t="str">
        <f>"数学分析Ⅱ（理科）"</f>
        <v>数学分析Ⅱ（理科）</v>
      </c>
      <c r="D137" s="3" t="str">
        <f t="shared" si="9"/>
        <v>通识基础课</v>
      </c>
      <c r="E137" s="3" t="str">
        <f>"王永富"</f>
        <v>王永富</v>
      </c>
      <c r="F137" s="3" t="str">
        <f>"齐悦"</f>
        <v>齐悦</v>
      </c>
      <c r="G137" s="3" t="str">
        <f>"222070100014"</f>
        <v>222070100014</v>
      </c>
      <c r="H137" s="4"/>
      <c r="I137" s="5"/>
    </row>
    <row r="138" spans="1:9" ht="34">
      <c r="A138" s="2">
        <v>135</v>
      </c>
      <c r="B138" s="3" t="s">
        <v>21</v>
      </c>
      <c r="C138" s="3" t="str">
        <f>"高等代数Ⅱ"</f>
        <v>高等代数Ⅱ</v>
      </c>
      <c r="D138" s="3" t="str">
        <f t="shared" si="9"/>
        <v>通识基础课</v>
      </c>
      <c r="E138" s="3" t="str">
        <f>"韩本三"</f>
        <v>韩本三</v>
      </c>
      <c r="F138" s="3" t="str">
        <f>"杨颖"</f>
        <v>杨颖</v>
      </c>
      <c r="G138" s="3" t="str">
        <f>"2220202Z1016"</f>
        <v>2220202Z1016</v>
      </c>
      <c r="H138" s="4"/>
      <c r="I138" s="5"/>
    </row>
    <row r="139" spans="1:9" ht="34">
      <c r="A139" s="2">
        <v>136</v>
      </c>
      <c r="B139" s="3" t="s">
        <v>21</v>
      </c>
      <c r="C139" s="3" t="str">
        <f>"高等数学Ⅱ"</f>
        <v>高等数学Ⅱ</v>
      </c>
      <c r="D139" s="3" t="str">
        <f>"自由选修课"</f>
        <v>自由选修课</v>
      </c>
      <c r="E139" s="3" t="str">
        <f>"谢果"</f>
        <v>谢果</v>
      </c>
      <c r="F139" s="3" t="str">
        <f>"郑茜"</f>
        <v>郑茜</v>
      </c>
      <c r="G139" s="3" t="str">
        <f>"121120100001"</f>
        <v>121120100001</v>
      </c>
      <c r="H139" s="4"/>
      <c r="I139" s="5"/>
    </row>
    <row r="140" spans="1:9" ht="34">
      <c r="A140" s="2">
        <v>137</v>
      </c>
      <c r="B140" s="3" t="s">
        <v>21</v>
      </c>
      <c r="C140" s="3" t="str">
        <f>"高等代数Ⅱ"</f>
        <v>高等代数Ⅱ</v>
      </c>
      <c r="D140" s="3" t="str">
        <f t="shared" ref="D140:D145" si="10">"通识基础课"</f>
        <v>通识基础课</v>
      </c>
      <c r="E140" s="3" t="str">
        <f>"曾嵘"</f>
        <v>曾嵘</v>
      </c>
      <c r="F140" s="3" t="str">
        <f>"任琪琪"</f>
        <v>任琪琪</v>
      </c>
      <c r="G140" s="3" t="str">
        <f>"219120202020"</f>
        <v>219120202020</v>
      </c>
      <c r="H140" s="4"/>
      <c r="I140" s="5"/>
    </row>
    <row r="141" spans="1:9" ht="34">
      <c r="A141" s="2">
        <v>138</v>
      </c>
      <c r="B141" s="3" t="s">
        <v>21</v>
      </c>
      <c r="C141" s="3" t="str">
        <f>"概率论（理科）"</f>
        <v>概率论（理科）</v>
      </c>
      <c r="D141" s="3" t="str">
        <f t="shared" si="10"/>
        <v>通识基础课</v>
      </c>
      <c r="E141" s="3" t="str">
        <f>"陈善镇"</f>
        <v>陈善镇</v>
      </c>
      <c r="F141" s="3" t="str">
        <f>"张祥"</f>
        <v>张祥</v>
      </c>
      <c r="G141" s="3" t="str">
        <f>"221070100008"</f>
        <v>221070100008</v>
      </c>
      <c r="H141" s="4"/>
      <c r="I141" s="5"/>
    </row>
    <row r="142" spans="1:9" ht="34">
      <c r="A142" s="2">
        <v>139</v>
      </c>
      <c r="B142" s="3" t="s">
        <v>21</v>
      </c>
      <c r="C142" s="3" t="str">
        <f>"高等数学Ⅱ"</f>
        <v>高等数学Ⅱ</v>
      </c>
      <c r="D142" s="3" t="str">
        <f t="shared" si="10"/>
        <v>通识基础课</v>
      </c>
      <c r="E142" s="3" t="str">
        <f>"戴岱"</f>
        <v>戴岱</v>
      </c>
      <c r="F142" s="3" t="str">
        <f>"付玉"</f>
        <v>付玉</v>
      </c>
      <c r="G142" s="3" t="str">
        <f>"220070100002"</f>
        <v>220070100002</v>
      </c>
      <c r="H142" s="4"/>
      <c r="I142" s="5"/>
    </row>
    <row r="143" spans="1:9" ht="34">
      <c r="A143" s="2">
        <v>140</v>
      </c>
      <c r="B143" s="3" t="s">
        <v>21</v>
      </c>
      <c r="C143" s="3" t="str">
        <f>"数学分析Ⅱ（理科）"</f>
        <v>数学分析Ⅱ（理科）</v>
      </c>
      <c r="D143" s="3" t="str">
        <f t="shared" si="10"/>
        <v>通识基础课</v>
      </c>
      <c r="E143" s="3" t="str">
        <f>"尹正"</f>
        <v>尹正</v>
      </c>
      <c r="F143" s="3" t="str">
        <f>"王子衿"</f>
        <v>王子衿</v>
      </c>
      <c r="G143" s="3" t="str">
        <f>"1190202Z1006"</f>
        <v>1190202Z1006</v>
      </c>
      <c r="H143" s="4"/>
      <c r="I143" s="5"/>
    </row>
    <row r="144" spans="1:9" ht="34">
      <c r="A144" s="2">
        <v>141</v>
      </c>
      <c r="B144" s="3" t="s">
        <v>21</v>
      </c>
      <c r="C144" s="3" t="str">
        <f>"高等数学Ⅱ"</f>
        <v>高等数学Ⅱ</v>
      </c>
      <c r="D144" s="3" t="str">
        <f t="shared" si="10"/>
        <v>通识基础课</v>
      </c>
      <c r="E144" s="3" t="str">
        <f>"梁浩"</f>
        <v>梁浩</v>
      </c>
      <c r="F144" s="3" t="str">
        <f>"李怡馨"</f>
        <v>李怡馨</v>
      </c>
      <c r="G144" s="3" t="str">
        <f>"1180202Z1001"</f>
        <v>1180202Z1001</v>
      </c>
      <c r="H144" s="4"/>
      <c r="I144" s="5"/>
    </row>
    <row r="145" spans="1:9" ht="34">
      <c r="A145" s="2">
        <v>142</v>
      </c>
      <c r="B145" s="3" t="s">
        <v>21</v>
      </c>
      <c r="C145" s="3" t="str">
        <f>"高等代数Ⅰ"</f>
        <v>高等代数Ⅰ</v>
      </c>
      <c r="D145" s="3" t="str">
        <f t="shared" si="10"/>
        <v>通识基础课</v>
      </c>
      <c r="E145" s="3" t="str">
        <f>"于翔"</f>
        <v>于翔</v>
      </c>
      <c r="F145" s="3" t="str">
        <f>"辛琪"</f>
        <v>辛琪</v>
      </c>
      <c r="G145" s="3" t="str">
        <f>"222070100007"</f>
        <v>222070100007</v>
      </c>
      <c r="H145" s="4"/>
      <c r="I145" s="5"/>
    </row>
    <row r="146" spans="1:9" ht="34">
      <c r="A146" s="2">
        <v>143</v>
      </c>
      <c r="B146" s="3" t="s">
        <v>21</v>
      </c>
      <c r="C146" s="3" t="str">
        <f>"复变函数"</f>
        <v>复变函数</v>
      </c>
      <c r="D146" s="3" t="str">
        <f>"专业必修课"</f>
        <v>专业必修课</v>
      </c>
      <c r="E146" s="3" t="str">
        <f>"林一丁"</f>
        <v>林一丁</v>
      </c>
      <c r="F146" s="3" t="str">
        <f>"李耀"</f>
        <v>李耀</v>
      </c>
      <c r="G146" s="3" t="str">
        <f>"1220202Z1002"</f>
        <v>1220202Z1002</v>
      </c>
      <c r="H146" s="4"/>
      <c r="I146" s="5"/>
    </row>
    <row r="147" spans="1:9" ht="34">
      <c r="A147" s="2">
        <v>144</v>
      </c>
      <c r="B147" s="3" t="s">
        <v>21</v>
      </c>
      <c r="C147" s="3" t="str">
        <f>"数学分析Ⅱ（理科）"</f>
        <v>数学分析Ⅱ（理科）</v>
      </c>
      <c r="D147" s="3" t="str">
        <f>"通识基础课"</f>
        <v>通识基础课</v>
      </c>
      <c r="E147" s="3" t="str">
        <f>"李捷"</f>
        <v>李捷</v>
      </c>
      <c r="F147" s="3" t="str">
        <f>"唐霞"</f>
        <v>唐霞</v>
      </c>
      <c r="G147" s="3" t="str">
        <f>"121120100004"</f>
        <v>121120100004</v>
      </c>
      <c r="H147" s="4"/>
      <c r="I147" s="5"/>
    </row>
    <row r="148" spans="1:9" ht="34">
      <c r="A148" s="2">
        <v>145</v>
      </c>
      <c r="B148" s="3" t="s">
        <v>21</v>
      </c>
      <c r="C148" s="3" t="str">
        <f>"高等数学Ⅱ"</f>
        <v>高等数学Ⅱ</v>
      </c>
      <c r="D148" s="3" t="str">
        <f>"通识基础课"</f>
        <v>通识基础课</v>
      </c>
      <c r="E148" s="3" t="str">
        <f>"梁浩"</f>
        <v>梁浩</v>
      </c>
      <c r="F148" s="3" t="str">
        <f>"鹿正阳"</f>
        <v>鹿正阳</v>
      </c>
      <c r="G148" s="3" t="str">
        <f>"1200202Z1001"</f>
        <v>1200202Z1001</v>
      </c>
      <c r="H148" s="4"/>
      <c r="I148" s="5"/>
    </row>
    <row r="149" spans="1:9" ht="34">
      <c r="A149" s="2">
        <v>146</v>
      </c>
      <c r="B149" s="3" t="s">
        <v>21</v>
      </c>
      <c r="C149" s="3" t="str">
        <f>"经济博弈论"</f>
        <v>经济博弈论</v>
      </c>
      <c r="D149" s="3" t="str">
        <f>"专业方向课"</f>
        <v>专业方向课</v>
      </c>
      <c r="E149" s="3" t="str">
        <f>"丁川"</f>
        <v>丁川</v>
      </c>
      <c r="F149" s="3" t="str">
        <f>"李阳"</f>
        <v>李阳</v>
      </c>
      <c r="G149" s="3" t="str">
        <f>"1200202Z1003"</f>
        <v>1200202Z1003</v>
      </c>
      <c r="H149" s="4"/>
      <c r="I149" s="5"/>
    </row>
    <row r="150" spans="1:9" ht="34">
      <c r="A150" s="2">
        <v>147</v>
      </c>
      <c r="B150" s="3" t="s">
        <v>21</v>
      </c>
      <c r="C150" s="3" t="str">
        <f>"概率论（理科）"</f>
        <v>概率论（理科）</v>
      </c>
      <c r="D150" s="3" t="str">
        <f t="shared" ref="D150:D155" si="11">"通识基础课"</f>
        <v>通识基础课</v>
      </c>
      <c r="E150" s="3" t="str">
        <f>"岳佳"</f>
        <v>岳佳</v>
      </c>
      <c r="F150" s="3" t="str">
        <f>"张凯宇"</f>
        <v>张凯宇</v>
      </c>
      <c r="G150" s="3" t="str">
        <f>"221070100001"</f>
        <v>221070100001</v>
      </c>
      <c r="H150" s="4"/>
      <c r="I150" s="5"/>
    </row>
    <row r="151" spans="1:9" ht="34">
      <c r="A151" s="2">
        <v>148</v>
      </c>
      <c r="B151" s="3" t="s">
        <v>21</v>
      </c>
      <c r="C151" s="3" t="str">
        <f>"高等代数Ⅱ"</f>
        <v>高等代数Ⅱ</v>
      </c>
      <c r="D151" s="3" t="str">
        <f t="shared" si="11"/>
        <v>通识基础课</v>
      </c>
      <c r="E151" s="3" t="str">
        <f>"李坤"</f>
        <v>李坤</v>
      </c>
      <c r="F151" s="3" t="str">
        <f>"周金凤"</f>
        <v>周金凤</v>
      </c>
      <c r="G151" s="3" t="str">
        <f>"220070100021"</f>
        <v>220070100021</v>
      </c>
      <c r="H151" s="4"/>
      <c r="I151" s="5"/>
    </row>
    <row r="152" spans="1:9" ht="34">
      <c r="A152" s="2">
        <v>149</v>
      </c>
      <c r="B152" s="3" t="s">
        <v>21</v>
      </c>
      <c r="C152" s="3" t="str">
        <f>"高等代数Ⅰ"</f>
        <v>高等代数Ⅰ</v>
      </c>
      <c r="D152" s="3" t="str">
        <f t="shared" si="11"/>
        <v>通识基础课</v>
      </c>
      <c r="E152" s="3" t="str">
        <f>"吴曦"</f>
        <v>吴曦</v>
      </c>
      <c r="F152" s="3" t="str">
        <f>"张雨菲"</f>
        <v>张雨菲</v>
      </c>
      <c r="G152" s="3" t="str">
        <f>"1220202Z2001"</f>
        <v>1220202Z2001</v>
      </c>
      <c r="H152" s="4"/>
      <c r="I152" s="5"/>
    </row>
    <row r="153" spans="1:9" ht="34">
      <c r="A153" s="2">
        <v>150</v>
      </c>
      <c r="B153" s="3" t="s">
        <v>21</v>
      </c>
      <c r="C153" s="3" t="str">
        <f>"数学分析Ⅰ（理科）"</f>
        <v>数学分析Ⅰ（理科）</v>
      </c>
      <c r="D153" s="3" t="str">
        <f t="shared" si="11"/>
        <v>通识基础课</v>
      </c>
      <c r="E153" s="3" t="str">
        <f>"梁之磊"</f>
        <v>梁之磊</v>
      </c>
      <c r="F153" s="3" t="str">
        <f>"王丹妮"</f>
        <v>王丹妮</v>
      </c>
      <c r="G153" s="3" t="str">
        <f>"221070100017"</f>
        <v>221070100017</v>
      </c>
      <c r="H153" s="4"/>
      <c r="I153" s="5"/>
    </row>
    <row r="154" spans="1:9" ht="34">
      <c r="A154" s="2">
        <v>151</v>
      </c>
      <c r="B154" s="3" t="s">
        <v>21</v>
      </c>
      <c r="C154" s="3" t="str">
        <f>"高等数学Ⅱ"</f>
        <v>高等数学Ⅱ</v>
      </c>
      <c r="D154" s="3" t="str">
        <f t="shared" si="11"/>
        <v>通识基础课</v>
      </c>
      <c r="E154" s="3" t="str">
        <f>"张清邦"</f>
        <v>张清邦</v>
      </c>
      <c r="F154" s="3" t="str">
        <f>"易理政"</f>
        <v>易理政</v>
      </c>
      <c r="G154" s="3" t="str">
        <f>"222070100009"</f>
        <v>222070100009</v>
      </c>
      <c r="H154" s="4"/>
      <c r="I154" s="5"/>
    </row>
    <row r="155" spans="1:9" ht="34">
      <c r="A155" s="2">
        <v>152</v>
      </c>
      <c r="B155" s="3" t="s">
        <v>21</v>
      </c>
      <c r="C155" s="3" t="str">
        <f>"概率论（理科）"</f>
        <v>概率论（理科）</v>
      </c>
      <c r="D155" s="3" t="str">
        <f t="shared" si="11"/>
        <v>通识基础课</v>
      </c>
      <c r="E155" s="3" t="str">
        <f>"吴萌"</f>
        <v>吴萌</v>
      </c>
      <c r="F155" s="3" t="str">
        <f>"王新宇"</f>
        <v>王新宇</v>
      </c>
      <c r="G155" s="3" t="str">
        <f>"120120202003"</f>
        <v>120120202003</v>
      </c>
      <c r="H155" s="4"/>
      <c r="I155" s="5"/>
    </row>
    <row r="156" spans="1:9" ht="34">
      <c r="A156" s="2">
        <v>153</v>
      </c>
      <c r="B156" s="3" t="s">
        <v>21</v>
      </c>
      <c r="C156" s="3" t="str">
        <f>"偏微分方程（英文）"</f>
        <v>偏微分方程（英文）</v>
      </c>
      <c r="D156" s="3" t="str">
        <f>"专业方向课"</f>
        <v>专业方向课</v>
      </c>
      <c r="E156" s="3" t="str">
        <f>"梁之磊"</f>
        <v>梁之磊</v>
      </c>
      <c r="F156" s="3" t="str">
        <f>"帅江羽"</f>
        <v>帅江羽</v>
      </c>
      <c r="G156" s="3" t="str">
        <f>"1200202Z1005"</f>
        <v>1200202Z1005</v>
      </c>
      <c r="H156" s="4"/>
      <c r="I156" s="5"/>
    </row>
    <row r="157" spans="1:9" ht="34">
      <c r="A157" s="2">
        <v>154</v>
      </c>
      <c r="B157" s="3" t="s">
        <v>21</v>
      </c>
      <c r="C157" s="3" t="str">
        <f>"概率论（理科）"</f>
        <v>概率论（理科）</v>
      </c>
      <c r="D157" s="3" t="str">
        <f>"通识基础课"</f>
        <v>通识基础课</v>
      </c>
      <c r="E157" s="3" t="str">
        <f>"徐凤"</f>
        <v>徐凤</v>
      </c>
      <c r="F157" s="3" t="str">
        <f>"梁拓"</f>
        <v>梁拓</v>
      </c>
      <c r="G157" s="3" t="str">
        <f>"221020204001"</f>
        <v>221020204001</v>
      </c>
      <c r="H157" s="4"/>
      <c r="I157" s="5"/>
    </row>
    <row r="158" spans="1:9" ht="34">
      <c r="A158" s="2">
        <v>155</v>
      </c>
      <c r="B158" s="3" t="s">
        <v>21</v>
      </c>
      <c r="C158" s="3" t="str">
        <f>"高等代数Ⅱ"</f>
        <v>高等代数Ⅱ</v>
      </c>
      <c r="D158" s="3" t="str">
        <f>"通识基础课"</f>
        <v>通识基础课</v>
      </c>
      <c r="E158" s="3" t="str">
        <f>"高雪梅"</f>
        <v>高雪梅</v>
      </c>
      <c r="F158" s="3" t="str">
        <f>"邓婷"</f>
        <v>邓婷</v>
      </c>
      <c r="G158" s="3" t="str">
        <f>"221020201001"</f>
        <v>221020201001</v>
      </c>
      <c r="H158" s="4"/>
      <c r="I158" s="5"/>
    </row>
    <row r="159" spans="1:9" ht="34">
      <c r="A159" s="2">
        <v>156</v>
      </c>
      <c r="B159" s="3" t="s">
        <v>21</v>
      </c>
      <c r="C159" s="3" t="str">
        <f>"数学建模与数学实验"</f>
        <v>数学建模与数学实验</v>
      </c>
      <c r="D159" s="3" t="str">
        <f>"专业方向课"</f>
        <v>专业方向课</v>
      </c>
      <c r="E159" s="3" t="str">
        <f>"孙云龙"</f>
        <v>孙云龙</v>
      </c>
      <c r="F159" s="3" t="str">
        <f>"叶家佑"</f>
        <v>叶家佑</v>
      </c>
      <c r="G159" s="3" t="str">
        <f>"1220202Z1005"</f>
        <v>1220202Z1005</v>
      </c>
      <c r="H159" s="4"/>
      <c r="I159" s="5"/>
    </row>
    <row r="160" spans="1:9" ht="34">
      <c r="A160" s="2">
        <v>157</v>
      </c>
      <c r="B160" s="3" t="s">
        <v>21</v>
      </c>
      <c r="C160" s="3" t="str">
        <f>"数学分析II（英文）"</f>
        <v>数学分析II（英文）</v>
      </c>
      <c r="D160" s="3" t="str">
        <f>"通识基础课"</f>
        <v>通识基础课</v>
      </c>
      <c r="E160" s="3" t="str">
        <f>"郭训香"</f>
        <v>郭训香</v>
      </c>
      <c r="F160" s="3" t="str">
        <f>"王珂"</f>
        <v>王珂</v>
      </c>
      <c r="G160" s="3" t="str">
        <f>"1200202Z1004"</f>
        <v>1200202Z1004</v>
      </c>
      <c r="H160" s="4"/>
      <c r="I160" s="5"/>
    </row>
    <row r="161" spans="1:9" ht="34">
      <c r="A161" s="2">
        <v>158</v>
      </c>
      <c r="B161" s="3" t="s">
        <v>21</v>
      </c>
      <c r="C161" s="3" t="str">
        <f>"随机过程"</f>
        <v>随机过程</v>
      </c>
      <c r="D161" s="3" t="str">
        <f>"专业方向课"</f>
        <v>专业方向课</v>
      </c>
      <c r="E161" s="3" t="str">
        <f>"徐凤"</f>
        <v>徐凤</v>
      </c>
      <c r="F161" s="3" t="str">
        <f>"周国勇"</f>
        <v>周国勇</v>
      </c>
      <c r="G161" s="3" t="str">
        <f>"1200202Z1006"</f>
        <v>1200202Z1006</v>
      </c>
      <c r="H161" s="4"/>
      <c r="I161" s="5"/>
    </row>
    <row r="162" spans="1:9" ht="34">
      <c r="A162" s="2">
        <v>159</v>
      </c>
      <c r="B162" s="3" t="s">
        <v>21</v>
      </c>
      <c r="C162" s="3" t="str">
        <f>"高等代数Ⅱ"</f>
        <v>高等代数Ⅱ</v>
      </c>
      <c r="D162" s="3" t="str">
        <f t="shared" ref="D162:D178" si="12">"通识基础课"</f>
        <v>通识基础课</v>
      </c>
      <c r="E162" s="3" t="str">
        <f>"林可"</f>
        <v>林可</v>
      </c>
      <c r="F162" s="3" t="str">
        <f>"付靖"</f>
        <v>付靖</v>
      </c>
      <c r="G162" s="3" t="str">
        <f>"1200202Z1009"</f>
        <v>1200202Z1009</v>
      </c>
      <c r="H162" s="4"/>
      <c r="I162" s="5"/>
    </row>
    <row r="163" spans="1:9" ht="34">
      <c r="A163" s="2">
        <v>160</v>
      </c>
      <c r="B163" s="3" t="s">
        <v>21</v>
      </c>
      <c r="C163" s="3" t="str">
        <f>"数学分析Ⅱ（理科）"</f>
        <v>数学分析Ⅱ（理科）</v>
      </c>
      <c r="D163" s="3" t="str">
        <f t="shared" si="12"/>
        <v>通识基础课</v>
      </c>
      <c r="E163" s="3" t="str">
        <f>"尹正"</f>
        <v>尹正</v>
      </c>
      <c r="F163" s="3" t="str">
        <f>"王智宇"</f>
        <v>王智宇</v>
      </c>
      <c r="G163" s="3" t="str">
        <f>"1220202Z1007"</f>
        <v>1220202Z1007</v>
      </c>
      <c r="H163" s="4"/>
      <c r="I163" s="5"/>
    </row>
    <row r="164" spans="1:9" ht="34">
      <c r="A164" s="2">
        <v>161</v>
      </c>
      <c r="B164" s="3" t="s">
        <v>21</v>
      </c>
      <c r="C164" s="3" t="str">
        <f>"概率论（理科）"</f>
        <v>概率论（理科）</v>
      </c>
      <c r="D164" s="3" t="str">
        <f t="shared" si="12"/>
        <v>通识基础课</v>
      </c>
      <c r="E164" s="3" t="str">
        <f>"吴小丹"</f>
        <v>吴小丹</v>
      </c>
      <c r="F164" s="3" t="str">
        <f>"张祺"</f>
        <v>张祺</v>
      </c>
      <c r="G164" s="3" t="str">
        <f>"222120100016"</f>
        <v>222120100016</v>
      </c>
      <c r="H164" s="4"/>
      <c r="I164" s="5"/>
    </row>
    <row r="165" spans="1:9" ht="34">
      <c r="A165" s="2">
        <v>162</v>
      </c>
      <c r="B165" s="3" t="s">
        <v>21</v>
      </c>
      <c r="C165" s="3" t="str">
        <f>"高等代数Ⅰ"</f>
        <v>高等代数Ⅰ</v>
      </c>
      <c r="D165" s="3" t="str">
        <f t="shared" si="12"/>
        <v>通识基础课</v>
      </c>
      <c r="E165" s="3" t="str">
        <f>"蒲洋"</f>
        <v>蒲洋</v>
      </c>
      <c r="F165" s="3" t="str">
        <f>"吕扬凡"</f>
        <v>吕扬凡</v>
      </c>
      <c r="G165" s="3" t="str">
        <f>"220070100004"</f>
        <v>220070100004</v>
      </c>
      <c r="H165" s="4"/>
      <c r="I165" s="5"/>
    </row>
    <row r="166" spans="1:9" ht="34">
      <c r="A166" s="2">
        <v>163</v>
      </c>
      <c r="B166" s="3" t="s">
        <v>21</v>
      </c>
      <c r="C166" s="3" t="str">
        <f>"概率论（理科）"</f>
        <v>概率论（理科）</v>
      </c>
      <c r="D166" s="3" t="str">
        <f t="shared" si="12"/>
        <v>通识基础课</v>
      </c>
      <c r="E166" s="3" t="str">
        <f>"岳佳"</f>
        <v>岳佳</v>
      </c>
      <c r="F166" s="3" t="str">
        <f>"魏思宇"</f>
        <v>魏思宇</v>
      </c>
      <c r="G166" s="3" t="str">
        <f>"221070100002"</f>
        <v>221070100002</v>
      </c>
      <c r="H166" s="4"/>
      <c r="I166" s="5"/>
    </row>
    <row r="167" spans="1:9" ht="34">
      <c r="A167" s="2">
        <v>164</v>
      </c>
      <c r="B167" s="3" t="s">
        <v>21</v>
      </c>
      <c r="C167" s="3" t="str">
        <f>"高等代数Ⅰ"</f>
        <v>高等代数Ⅰ</v>
      </c>
      <c r="D167" s="3" t="str">
        <f t="shared" si="12"/>
        <v>通识基础课</v>
      </c>
      <c r="E167" s="3" t="str">
        <f>"吴曦"</f>
        <v>吴曦</v>
      </c>
      <c r="F167" s="3" t="str">
        <f>"汪佩雯"</f>
        <v>汪佩雯</v>
      </c>
      <c r="G167" s="3" t="str">
        <f>"119020204054"</f>
        <v>119020204054</v>
      </c>
      <c r="H167" s="4"/>
      <c r="I167" s="5"/>
    </row>
    <row r="168" spans="1:9" ht="34">
      <c r="A168" s="2">
        <v>165</v>
      </c>
      <c r="B168" s="3" t="s">
        <v>21</v>
      </c>
      <c r="C168" s="3" t="str">
        <f>"概率论（理科）"</f>
        <v>概率论（理科）</v>
      </c>
      <c r="D168" s="3" t="str">
        <f t="shared" si="12"/>
        <v>通识基础课</v>
      </c>
      <c r="E168" s="3" t="str">
        <f>"吴小丹"</f>
        <v>吴小丹</v>
      </c>
      <c r="F168" s="3" t="str">
        <f>"王璐"</f>
        <v>王璐</v>
      </c>
      <c r="G168" s="3" t="str">
        <f>"119020201001"</f>
        <v>119020201001</v>
      </c>
      <c r="H168" s="4"/>
      <c r="I168" s="5"/>
    </row>
    <row r="169" spans="1:9" ht="34">
      <c r="A169" s="2">
        <v>166</v>
      </c>
      <c r="B169" s="3" t="s">
        <v>21</v>
      </c>
      <c r="C169" s="3" t="str">
        <f>"高等代数Ⅱ"</f>
        <v>高等代数Ⅱ</v>
      </c>
      <c r="D169" s="3" t="str">
        <f t="shared" si="12"/>
        <v>通识基础课</v>
      </c>
      <c r="E169" s="3" t="str">
        <f>"高雪梅"</f>
        <v>高雪梅</v>
      </c>
      <c r="F169" s="3" t="str">
        <f>"吴皓斐"</f>
        <v>吴皓斐</v>
      </c>
      <c r="G169" s="3" t="str">
        <f>"1210202Z1002"</f>
        <v>1210202Z1002</v>
      </c>
      <c r="H169" s="4"/>
      <c r="I169" s="5"/>
    </row>
    <row r="170" spans="1:9" ht="34">
      <c r="A170" s="2">
        <v>167</v>
      </c>
      <c r="B170" s="3" t="s">
        <v>21</v>
      </c>
      <c r="C170" s="3" t="str">
        <f>"高等代数Ⅰ"</f>
        <v>高等代数Ⅰ</v>
      </c>
      <c r="D170" s="3" t="str">
        <f t="shared" si="12"/>
        <v>通识基础课</v>
      </c>
      <c r="E170" s="3" t="str">
        <f>"杨文昇"</f>
        <v>杨文昇</v>
      </c>
      <c r="F170" s="3" t="str">
        <f>"万泊伦"</f>
        <v>万泊伦</v>
      </c>
      <c r="G170" s="3" t="str">
        <f>"1190202Z1005"</f>
        <v>1190202Z1005</v>
      </c>
      <c r="H170" s="4"/>
      <c r="I170" s="5"/>
    </row>
    <row r="171" spans="1:9" ht="34">
      <c r="A171" s="2">
        <v>168</v>
      </c>
      <c r="B171" s="3" t="s">
        <v>21</v>
      </c>
      <c r="C171" s="3" t="str">
        <f>"高等数学Ⅱ"</f>
        <v>高等数学Ⅱ</v>
      </c>
      <c r="D171" s="3" t="str">
        <f t="shared" si="12"/>
        <v>通识基础课</v>
      </c>
      <c r="E171" s="3" t="str">
        <f>"戴岱"</f>
        <v>戴岱</v>
      </c>
      <c r="F171" s="3" t="str">
        <f>"程文锐"</f>
        <v>程文锐</v>
      </c>
      <c r="G171" s="3" t="str">
        <f>"121071400002"</f>
        <v>121071400002</v>
      </c>
      <c r="H171" s="4"/>
      <c r="I171" s="5"/>
    </row>
    <row r="172" spans="1:9" ht="34">
      <c r="A172" s="2">
        <v>169</v>
      </c>
      <c r="B172" s="3" t="s">
        <v>21</v>
      </c>
      <c r="C172" s="3" t="str">
        <f>"高等代数Ⅰ"</f>
        <v>高等代数Ⅰ</v>
      </c>
      <c r="D172" s="3" t="str">
        <f t="shared" si="12"/>
        <v>通识基础课</v>
      </c>
      <c r="E172" s="3" t="str">
        <f>"吴曦"</f>
        <v>吴曦</v>
      </c>
      <c r="F172" s="3" t="str">
        <f>"刘荣芹"</f>
        <v>刘荣芹</v>
      </c>
      <c r="G172" s="3" t="str">
        <f>"120120204004"</f>
        <v>120120204004</v>
      </c>
      <c r="H172" s="4"/>
      <c r="I172" s="5"/>
    </row>
    <row r="173" spans="1:9" ht="34">
      <c r="A173" s="2">
        <v>170</v>
      </c>
      <c r="B173" s="3" t="s">
        <v>21</v>
      </c>
      <c r="C173" s="3" t="str">
        <f>"多元微积分"</f>
        <v>多元微积分</v>
      </c>
      <c r="D173" s="3" t="str">
        <f t="shared" si="12"/>
        <v>通识基础课</v>
      </c>
      <c r="E173" s="3" t="str">
        <f>"代宏霞"</f>
        <v>代宏霞</v>
      </c>
      <c r="F173" s="3" t="str">
        <f>"李露"</f>
        <v>李露</v>
      </c>
      <c r="G173" s="3" t="str">
        <f>"1210202Z1004"</f>
        <v>1210202Z1004</v>
      </c>
      <c r="H173" s="4"/>
      <c r="I173" s="5"/>
    </row>
    <row r="174" spans="1:9" ht="34">
      <c r="A174" s="2">
        <v>171</v>
      </c>
      <c r="B174" s="3" t="s">
        <v>21</v>
      </c>
      <c r="C174" s="3" t="str">
        <f>"概率论（理科）"</f>
        <v>概率论（理科）</v>
      </c>
      <c r="D174" s="3" t="str">
        <f t="shared" si="12"/>
        <v>通识基础课</v>
      </c>
      <c r="E174" s="3" t="str">
        <f>"杨扬"</f>
        <v>杨扬</v>
      </c>
      <c r="F174" s="3" t="str">
        <f>"张涛"</f>
        <v>张涛</v>
      </c>
      <c r="G174" s="3" t="str">
        <f>"222120100019"</f>
        <v>222120100019</v>
      </c>
      <c r="H174" s="4"/>
      <c r="I174" s="5"/>
    </row>
    <row r="175" spans="1:9" ht="34">
      <c r="A175" s="2">
        <v>172</v>
      </c>
      <c r="B175" s="3" t="s">
        <v>21</v>
      </c>
      <c r="C175" s="3" t="str">
        <f>"数学分析Ⅱ（理科）"</f>
        <v>数学分析Ⅱ（理科）</v>
      </c>
      <c r="D175" s="3" t="str">
        <f t="shared" si="12"/>
        <v>通识基础课</v>
      </c>
      <c r="E175" s="3" t="str">
        <f>"冯保伟"</f>
        <v>冯保伟</v>
      </c>
      <c r="F175" s="3" t="str">
        <f>"徐丹"</f>
        <v>徐丹</v>
      </c>
      <c r="G175" s="3" t="str">
        <f>"222070100021"</f>
        <v>222070100021</v>
      </c>
      <c r="H175" s="4"/>
      <c r="I175" s="5"/>
    </row>
    <row r="176" spans="1:9" ht="34">
      <c r="A176" s="2">
        <v>173</v>
      </c>
      <c r="B176" s="3" t="s">
        <v>21</v>
      </c>
      <c r="C176" s="3" t="str">
        <f>"高等代数Ⅱ"</f>
        <v>高等代数Ⅱ</v>
      </c>
      <c r="D176" s="3" t="str">
        <f t="shared" si="12"/>
        <v>通识基础课</v>
      </c>
      <c r="E176" s="3" t="str">
        <f>"朱胜坤"</f>
        <v>朱胜坤</v>
      </c>
      <c r="F176" s="3" t="str">
        <f>"李志豪"</f>
        <v>李志豪</v>
      </c>
      <c r="G176" s="3" t="str">
        <f>"222070100018"</f>
        <v>222070100018</v>
      </c>
      <c r="H176" s="4"/>
      <c r="I176" s="5"/>
    </row>
    <row r="177" spans="1:9" ht="34">
      <c r="A177" s="2">
        <v>174</v>
      </c>
      <c r="B177" s="3" t="s">
        <v>21</v>
      </c>
      <c r="C177" s="3" t="str">
        <f>"数学分析Ⅱ（理科）"</f>
        <v>数学分析Ⅱ（理科）</v>
      </c>
      <c r="D177" s="3" t="str">
        <f t="shared" si="12"/>
        <v>通识基础课</v>
      </c>
      <c r="E177" s="3" t="str">
        <f>"王永富"</f>
        <v>王永富</v>
      </c>
      <c r="F177" s="3" t="str">
        <f>"毕皓"</f>
        <v>毕皓</v>
      </c>
      <c r="G177" s="3" t="str">
        <f>"222070100013"</f>
        <v>222070100013</v>
      </c>
      <c r="H177" s="4"/>
      <c r="I177" s="5"/>
    </row>
    <row r="178" spans="1:9" ht="34">
      <c r="A178" s="2">
        <v>175</v>
      </c>
      <c r="B178" s="3" t="s">
        <v>21</v>
      </c>
      <c r="C178" s="3" t="str">
        <f>"概率论（理科）"</f>
        <v>概率论（理科）</v>
      </c>
      <c r="D178" s="3" t="str">
        <f t="shared" si="12"/>
        <v>通识基础课</v>
      </c>
      <c r="E178" s="3" t="str">
        <f>"吴萌"</f>
        <v>吴萌</v>
      </c>
      <c r="F178" s="3" t="str">
        <f>"赵文娜"</f>
        <v>赵文娜</v>
      </c>
      <c r="G178" s="3" t="str">
        <f>"222120100018"</f>
        <v>222120100018</v>
      </c>
      <c r="H178" s="4"/>
      <c r="I178" s="5"/>
    </row>
    <row r="179" spans="1:9" ht="34">
      <c r="A179" s="2">
        <v>176</v>
      </c>
      <c r="B179" s="3" t="s">
        <v>21</v>
      </c>
      <c r="C179" s="3" t="str">
        <f>"高等数学Ⅱ"</f>
        <v>高等数学Ⅱ</v>
      </c>
      <c r="D179" s="3" t="str">
        <f>"专业必修课"</f>
        <v>专业必修课</v>
      </c>
      <c r="E179" s="3" t="str">
        <f>"李凤英"</f>
        <v>李凤英</v>
      </c>
      <c r="F179" s="3" t="str">
        <f>"李昱洁"</f>
        <v>李昱洁</v>
      </c>
      <c r="G179" s="3" t="str">
        <f>"121120204003"</f>
        <v>121120204003</v>
      </c>
      <c r="H179" s="4"/>
      <c r="I179" s="5"/>
    </row>
    <row r="180" spans="1:9" ht="34">
      <c r="A180" s="2">
        <v>177</v>
      </c>
      <c r="B180" s="3" t="s">
        <v>21</v>
      </c>
      <c r="C180" s="3" t="str">
        <f>"高等代数Ⅱ"</f>
        <v>高等代数Ⅱ</v>
      </c>
      <c r="D180" s="3" t="str">
        <f t="shared" ref="D180:D189" si="13">"通识基础课"</f>
        <v>通识基础课</v>
      </c>
      <c r="E180" s="3" t="str">
        <f>"高雪梅"</f>
        <v>高雪梅</v>
      </c>
      <c r="F180" s="3" t="str">
        <f>"胡林秀"</f>
        <v>胡林秀</v>
      </c>
      <c r="G180" s="3" t="str">
        <f>"120120100001"</f>
        <v>120120100001</v>
      </c>
      <c r="H180" s="4"/>
      <c r="I180" s="5"/>
    </row>
    <row r="181" spans="1:9" ht="34">
      <c r="A181" s="2">
        <v>178</v>
      </c>
      <c r="B181" s="3" t="s">
        <v>21</v>
      </c>
      <c r="C181" s="3" t="str">
        <f>"数学分析Ⅱ（理科）"</f>
        <v>数学分析Ⅱ（理科）</v>
      </c>
      <c r="D181" s="3" t="str">
        <f t="shared" si="13"/>
        <v>通识基础课</v>
      </c>
      <c r="E181" s="3" t="str">
        <f>"邓汝良"</f>
        <v>邓汝良</v>
      </c>
      <c r="F181" s="3" t="str">
        <f>"蒋怡蕊"</f>
        <v>蒋怡蕊</v>
      </c>
      <c r="G181" s="3" t="str">
        <f>"2210202Z2032"</f>
        <v>2210202Z2032</v>
      </c>
      <c r="H181" s="4"/>
      <c r="I181" s="5"/>
    </row>
    <row r="182" spans="1:9" ht="34">
      <c r="A182" s="2">
        <v>179</v>
      </c>
      <c r="B182" s="3" t="s">
        <v>21</v>
      </c>
      <c r="C182" s="3" t="str">
        <f>"高等代数Ⅰ"</f>
        <v>高等代数Ⅰ</v>
      </c>
      <c r="D182" s="3" t="str">
        <f t="shared" si="13"/>
        <v>通识基础课</v>
      </c>
      <c r="E182" s="3" t="str">
        <f>"杜彬彬"</f>
        <v>杜彬彬</v>
      </c>
      <c r="F182" s="3" t="str">
        <f>"周薇"</f>
        <v>周薇</v>
      </c>
      <c r="G182" s="3" t="str">
        <f>"221020105009"</f>
        <v>221020105009</v>
      </c>
      <c r="H182" s="4"/>
      <c r="I182" s="5"/>
    </row>
    <row r="183" spans="1:9" ht="34">
      <c r="A183" s="2">
        <v>180</v>
      </c>
      <c r="B183" s="3" t="s">
        <v>21</v>
      </c>
      <c r="C183" s="3" t="str">
        <f>"最优化理论与信息论"</f>
        <v>最优化理论与信息论</v>
      </c>
      <c r="D183" s="3" t="str">
        <f t="shared" si="13"/>
        <v>通识基础课</v>
      </c>
      <c r="E183" s="3" t="str">
        <f>"王天明"</f>
        <v>王天明</v>
      </c>
      <c r="F183" s="3" t="str">
        <f>"李彩霞"</f>
        <v>李彩霞</v>
      </c>
      <c r="G183" s="3" t="str">
        <f>"222070100023"</f>
        <v>222070100023</v>
      </c>
      <c r="H183" s="4"/>
      <c r="I183" s="5"/>
    </row>
    <row r="184" spans="1:9" ht="34">
      <c r="A184" s="2">
        <v>181</v>
      </c>
      <c r="B184" s="3" t="s">
        <v>21</v>
      </c>
      <c r="C184" s="3" t="str">
        <f>"高等数学Ⅱ"</f>
        <v>高等数学Ⅱ</v>
      </c>
      <c r="D184" s="3" t="str">
        <f t="shared" si="13"/>
        <v>通识基础课</v>
      </c>
      <c r="E184" s="3" t="str">
        <f>"吴静"</f>
        <v>吴静</v>
      </c>
      <c r="F184" s="3" t="str">
        <f>"田嫒"</f>
        <v>田嫒</v>
      </c>
      <c r="G184" s="3" t="str">
        <f>"121020201002"</f>
        <v>121020201002</v>
      </c>
      <c r="H184" s="4"/>
      <c r="I184" s="5"/>
    </row>
    <row r="185" spans="1:9" ht="34">
      <c r="A185" s="2">
        <v>182</v>
      </c>
      <c r="B185" s="3" t="s">
        <v>21</v>
      </c>
      <c r="C185" s="3" t="str">
        <f>"数学分析Ⅱ（理科）"</f>
        <v>数学分析Ⅱ（理科）</v>
      </c>
      <c r="D185" s="3" t="str">
        <f t="shared" si="13"/>
        <v>通识基础课</v>
      </c>
      <c r="E185" s="3" t="str">
        <f>"崔红卫"</f>
        <v>崔红卫</v>
      </c>
      <c r="F185" s="3" t="str">
        <f>"杨杰"</f>
        <v>杨杰</v>
      </c>
      <c r="G185" s="3" t="str">
        <f>"2210202Z2036"</f>
        <v>2210202Z2036</v>
      </c>
      <c r="H185" s="4"/>
      <c r="I185" s="5"/>
    </row>
    <row r="186" spans="1:9" ht="34">
      <c r="A186" s="2">
        <v>183</v>
      </c>
      <c r="B186" s="3" t="s">
        <v>21</v>
      </c>
      <c r="C186" s="3" t="str">
        <f>"数学分析Ⅱ（理科）"</f>
        <v>数学分析Ⅱ（理科）</v>
      </c>
      <c r="D186" s="3" t="str">
        <f t="shared" si="13"/>
        <v>通识基础课</v>
      </c>
      <c r="E186" s="3" t="str">
        <f>"李捷"</f>
        <v>李捷</v>
      </c>
      <c r="F186" s="3" t="str">
        <f>"张静怡"</f>
        <v>张静怡</v>
      </c>
      <c r="G186" s="3" t="str">
        <f>"1210202Z2008"</f>
        <v>1210202Z2008</v>
      </c>
      <c r="H186" s="4"/>
      <c r="I186" s="5"/>
    </row>
    <row r="187" spans="1:9" ht="34">
      <c r="A187" s="2">
        <v>184</v>
      </c>
      <c r="B187" s="3" t="s">
        <v>21</v>
      </c>
      <c r="C187" s="3" t="str">
        <f>"最优化理论与信息论"</f>
        <v>最优化理论与信息论</v>
      </c>
      <c r="D187" s="3" t="str">
        <f t="shared" si="13"/>
        <v>通识基础课</v>
      </c>
      <c r="E187" s="3" t="str">
        <f>"王天明"</f>
        <v>王天明</v>
      </c>
      <c r="F187" s="3" t="str">
        <f>"李浩然"</f>
        <v>李浩然</v>
      </c>
      <c r="G187" s="3" t="str">
        <f>"221070100009"</f>
        <v>221070100009</v>
      </c>
      <c r="H187" s="4"/>
      <c r="I187" s="5"/>
    </row>
    <row r="188" spans="1:9" ht="34">
      <c r="A188" s="2">
        <v>185</v>
      </c>
      <c r="B188" s="3" t="s">
        <v>21</v>
      </c>
      <c r="C188" s="3" t="str">
        <f>"高等代数Ⅱ"</f>
        <v>高等代数Ⅱ</v>
      </c>
      <c r="D188" s="3" t="str">
        <f t="shared" si="13"/>
        <v>通识基础课</v>
      </c>
      <c r="E188" s="3" t="str">
        <f>"林谦"</f>
        <v>林谦</v>
      </c>
      <c r="F188" s="3" t="str">
        <f>"张雪"</f>
        <v>张雪</v>
      </c>
      <c r="G188" s="3" t="str">
        <f>"221070100011"</f>
        <v>221070100011</v>
      </c>
      <c r="H188" s="4"/>
      <c r="I188" s="5"/>
    </row>
    <row r="189" spans="1:9" ht="34">
      <c r="A189" s="2">
        <v>186</v>
      </c>
      <c r="B189" s="3" t="s">
        <v>21</v>
      </c>
      <c r="C189" s="3" t="str">
        <f>"最优化理论与信息论"</f>
        <v>最优化理论与信息论</v>
      </c>
      <c r="D189" s="3" t="str">
        <f t="shared" si="13"/>
        <v>通识基础课</v>
      </c>
      <c r="E189" s="3" t="str">
        <f>"王天明"</f>
        <v>王天明</v>
      </c>
      <c r="F189" s="3" t="str">
        <f>"贾楠"</f>
        <v>贾楠</v>
      </c>
      <c r="G189" s="3" t="str">
        <f>"222070100006"</f>
        <v>222070100006</v>
      </c>
      <c r="H189" s="4"/>
      <c r="I189" s="5"/>
    </row>
    <row r="190" spans="1:9" ht="34">
      <c r="A190" s="2">
        <v>187</v>
      </c>
      <c r="B190" s="3" t="s">
        <v>21</v>
      </c>
      <c r="C190" s="3" t="str">
        <f>"时间序列分析"</f>
        <v>时间序列分析</v>
      </c>
      <c r="D190" s="3" t="str">
        <f>"专业必修课"</f>
        <v>专业必修课</v>
      </c>
      <c r="E190" s="3" t="str">
        <f>"林谦"</f>
        <v>林谦</v>
      </c>
      <c r="F190" s="3" t="str">
        <f>"谢福宾"</f>
        <v>谢福宾</v>
      </c>
      <c r="G190" s="3" t="str">
        <f>"2220202Z1005"</f>
        <v>2220202Z1005</v>
      </c>
      <c r="H190" s="4"/>
      <c r="I190" s="5"/>
    </row>
    <row r="191" spans="1:9" ht="34">
      <c r="A191" s="2">
        <v>188</v>
      </c>
      <c r="B191" s="3" t="s">
        <v>21</v>
      </c>
      <c r="C191" s="3" t="str">
        <f>"高等数学Ⅱ"</f>
        <v>高等数学Ⅱ</v>
      </c>
      <c r="D191" s="3" t="str">
        <f>"通识基础课"</f>
        <v>通识基础课</v>
      </c>
      <c r="E191" s="3" t="str">
        <f>"李凤英"</f>
        <v>李凤英</v>
      </c>
      <c r="F191" s="3" t="str">
        <f>"崔力元"</f>
        <v>崔力元</v>
      </c>
      <c r="G191" s="3" t="str">
        <f>"222070100016"</f>
        <v>222070100016</v>
      </c>
      <c r="H191" s="4"/>
      <c r="I191" s="5"/>
    </row>
    <row r="192" spans="1:9" ht="34">
      <c r="A192" s="2">
        <v>189</v>
      </c>
      <c r="B192" s="3" t="s">
        <v>21</v>
      </c>
      <c r="C192" s="3" t="str">
        <f>"概率论（理科）"</f>
        <v>概率论（理科）</v>
      </c>
      <c r="D192" s="3" t="str">
        <f>"通识基础课"</f>
        <v>通识基础课</v>
      </c>
      <c r="E192" s="3" t="str">
        <f>"黄文毅"</f>
        <v>黄文毅</v>
      </c>
      <c r="F192" s="3" t="str">
        <f>"卢欣怡"</f>
        <v>卢欣怡</v>
      </c>
      <c r="G192" s="3" t="str">
        <f>"2210303Z1001"</f>
        <v>2210303Z1001</v>
      </c>
      <c r="H192" s="4"/>
      <c r="I192" s="5"/>
    </row>
    <row r="193" spans="1:9" ht="34">
      <c r="A193" s="2">
        <v>190</v>
      </c>
      <c r="B193" s="3" t="s">
        <v>21</v>
      </c>
      <c r="C193" s="3" t="str">
        <f>"概率论（理科）"</f>
        <v>概率论（理科）</v>
      </c>
      <c r="D193" s="3" t="str">
        <f>"通识基础课"</f>
        <v>通识基础课</v>
      </c>
      <c r="E193" s="3" t="str">
        <f>"杨扬"</f>
        <v>杨扬</v>
      </c>
      <c r="F193" s="3" t="str">
        <f>"洪艺琳"</f>
        <v>洪艺琳</v>
      </c>
      <c r="G193" s="3" t="str">
        <f>"1200202Z1007"</f>
        <v>1200202Z1007</v>
      </c>
      <c r="H193" s="4"/>
      <c r="I193" s="5"/>
    </row>
    <row r="194" spans="1:9" ht="34">
      <c r="A194" s="2">
        <v>191</v>
      </c>
      <c r="B194" s="3" t="s">
        <v>21</v>
      </c>
      <c r="C194" s="3" t="str">
        <f>"高等代数Ⅱ"</f>
        <v>高等代数Ⅱ</v>
      </c>
      <c r="D194" s="3" t="str">
        <f>"通识基础课"</f>
        <v>通识基础课</v>
      </c>
      <c r="E194" s="3" t="str">
        <f>"朱胜坤"</f>
        <v>朱胜坤</v>
      </c>
      <c r="F194" s="3" t="str">
        <f>"姚治佳"</f>
        <v>姚治佳</v>
      </c>
      <c r="G194" s="3" t="str">
        <f>"221070100018"</f>
        <v>221070100018</v>
      </c>
      <c r="H194" s="4"/>
      <c r="I194" s="5"/>
    </row>
    <row r="195" spans="1:9" ht="34">
      <c r="A195" s="2">
        <v>192</v>
      </c>
      <c r="B195" s="3" t="s">
        <v>21</v>
      </c>
      <c r="C195" s="3" t="str">
        <f>"复变函数"</f>
        <v>复变函数</v>
      </c>
      <c r="D195" s="3" t="str">
        <f>"专业方向课"</f>
        <v>专业方向课</v>
      </c>
      <c r="E195" s="3" t="str">
        <f>"林一丁"</f>
        <v>林一丁</v>
      </c>
      <c r="F195" s="3" t="str">
        <f>"邹粉菊"</f>
        <v>邹粉菊</v>
      </c>
      <c r="G195" s="3" t="str">
        <f>"121020201001"</f>
        <v>121020201001</v>
      </c>
      <c r="H195" s="4"/>
      <c r="I195" s="5"/>
    </row>
    <row r="196" spans="1:9" ht="34">
      <c r="A196" s="2">
        <v>193</v>
      </c>
      <c r="B196" s="3" t="s">
        <v>21</v>
      </c>
      <c r="C196" s="3" t="str">
        <f>"高等代数Ⅱ"</f>
        <v>高等代数Ⅱ</v>
      </c>
      <c r="D196" s="3" t="str">
        <f>"通识基础课"</f>
        <v>通识基础课</v>
      </c>
      <c r="E196" s="3" t="str">
        <f>"朱胜坤"</f>
        <v>朱胜坤</v>
      </c>
      <c r="F196" s="3" t="str">
        <f>"于继铎"</f>
        <v>于继铎</v>
      </c>
      <c r="G196" s="3" t="str">
        <f>"221070100019"</f>
        <v>221070100019</v>
      </c>
      <c r="H196" s="4"/>
      <c r="I196" s="5"/>
    </row>
    <row r="197" spans="1:9" ht="34">
      <c r="A197" s="2">
        <v>194</v>
      </c>
      <c r="B197" s="3" t="s">
        <v>21</v>
      </c>
      <c r="C197" s="3" t="str">
        <f>"数理统计"</f>
        <v>数理统计</v>
      </c>
      <c r="D197" s="3" t="str">
        <f>"大学科基础课"</f>
        <v>大学科基础课</v>
      </c>
      <c r="E197" s="3" t="str">
        <f>"李绍文"</f>
        <v>李绍文</v>
      </c>
      <c r="F197" s="3" t="str">
        <f>"朱鑫海"</f>
        <v>朱鑫海</v>
      </c>
      <c r="G197" s="3" t="str">
        <f>"2220202Z1009"</f>
        <v>2220202Z1009</v>
      </c>
      <c r="H197" s="4"/>
      <c r="I197" s="5"/>
    </row>
    <row r="198" spans="1:9" ht="34">
      <c r="A198" s="2">
        <v>195</v>
      </c>
      <c r="B198" s="3" t="s">
        <v>21</v>
      </c>
      <c r="C198" s="3" t="str">
        <f>"高等代数Ⅰ"</f>
        <v>高等代数Ⅰ</v>
      </c>
      <c r="D198" s="3" t="str">
        <f>"通识基础课"</f>
        <v>通识基础课</v>
      </c>
      <c r="E198" s="3" t="str">
        <f>"张昕"</f>
        <v>张昕</v>
      </c>
      <c r="F198" s="3" t="str">
        <f>"杨子慧"</f>
        <v>杨子慧</v>
      </c>
      <c r="G198" s="3" t="str">
        <f>"221070100004"</f>
        <v>221070100004</v>
      </c>
      <c r="H198" s="4"/>
      <c r="I198" s="5"/>
    </row>
    <row r="199" spans="1:9" ht="34">
      <c r="A199" s="2">
        <v>196</v>
      </c>
      <c r="B199" s="3" t="s">
        <v>21</v>
      </c>
      <c r="C199" s="3" t="str">
        <f>"数学分析II（英文）"</f>
        <v>数学分析II（英文）</v>
      </c>
      <c r="D199" s="3" t="str">
        <f>"通识基础课"</f>
        <v>通识基础课</v>
      </c>
      <c r="E199" s="3" t="str">
        <f>"郭训香"</f>
        <v>郭训香</v>
      </c>
      <c r="F199" s="3" t="str">
        <f>"张鸿宇"</f>
        <v>张鸿宇</v>
      </c>
      <c r="G199" s="3" t="str">
        <f>"2200202Z1011"</f>
        <v>2200202Z1011</v>
      </c>
      <c r="H199" s="4"/>
      <c r="I199" s="5"/>
    </row>
    <row r="200" spans="1:9" ht="34">
      <c r="A200" s="2">
        <v>197</v>
      </c>
      <c r="B200" s="3" t="s">
        <v>21</v>
      </c>
      <c r="C200" s="3" t="str">
        <f>"高等数学Ⅱ"</f>
        <v>高等数学Ⅱ</v>
      </c>
      <c r="D200" s="3" t="str">
        <f>"通识基础课"</f>
        <v>通识基础课</v>
      </c>
      <c r="E200" s="3" t="str">
        <f>"林一丁"</f>
        <v>林一丁</v>
      </c>
      <c r="F200" s="3" t="str">
        <f>"赵怡铭"</f>
        <v>赵怡铭</v>
      </c>
      <c r="G200" s="3" t="str">
        <f>"2210202Z2023"</f>
        <v>2210202Z2023</v>
      </c>
      <c r="H200" s="4"/>
      <c r="I200" s="5"/>
    </row>
    <row r="201" spans="1:9" ht="34">
      <c r="A201" s="2">
        <v>198</v>
      </c>
      <c r="B201" s="3" t="s">
        <v>21</v>
      </c>
      <c r="C201" s="3" t="str">
        <f>"高等数学Ⅱ"</f>
        <v>高等数学Ⅱ</v>
      </c>
      <c r="D201" s="3" t="str">
        <f>"通识基础课"</f>
        <v>通识基础课</v>
      </c>
      <c r="E201" s="3" t="str">
        <f>"吴静"</f>
        <v>吴静</v>
      </c>
      <c r="F201" s="3" t="str">
        <f>"李林"</f>
        <v>李林</v>
      </c>
      <c r="G201" s="3" t="str">
        <f>"222020204069"</f>
        <v>222020204069</v>
      </c>
      <c r="H201" s="4"/>
      <c r="I201" s="5"/>
    </row>
    <row r="202" spans="1:9" ht="34">
      <c r="A202" s="2">
        <v>199</v>
      </c>
      <c r="B202" s="3" t="s">
        <v>21</v>
      </c>
      <c r="C202" s="3" t="str">
        <f>"高等数学Ⅱ"</f>
        <v>高等数学Ⅱ</v>
      </c>
      <c r="D202" s="3" t="str">
        <f>"通识基础课"</f>
        <v>通识基础课</v>
      </c>
      <c r="E202" s="3" t="str">
        <f>"王开弘"</f>
        <v>王开弘</v>
      </c>
      <c r="F202" s="3" t="str">
        <f>"杨青青"</f>
        <v>杨青青</v>
      </c>
      <c r="G202" s="3" t="str">
        <f>"121020204002"</f>
        <v>121020204002</v>
      </c>
      <c r="H202" s="4"/>
      <c r="I202" s="5"/>
    </row>
    <row r="203" spans="1:9" ht="34">
      <c r="A203" s="2">
        <v>200</v>
      </c>
      <c r="B203" s="3" t="s">
        <v>21</v>
      </c>
      <c r="C203" s="3" t="str">
        <f>"数理统计"</f>
        <v>数理统计</v>
      </c>
      <c r="D203" s="3" t="str">
        <f>"大学科基础课"</f>
        <v>大学科基础课</v>
      </c>
      <c r="E203" s="3" t="str">
        <f>"李绍文"</f>
        <v>李绍文</v>
      </c>
      <c r="F203" s="3" t="str">
        <f>"曾子涵"</f>
        <v>曾子涵</v>
      </c>
      <c r="G203" s="3" t="str">
        <f>"2220202Z1002"</f>
        <v>2220202Z1002</v>
      </c>
      <c r="H203" s="4"/>
      <c r="I203" s="5"/>
    </row>
    <row r="204" spans="1:9" ht="34">
      <c r="A204" s="2">
        <v>201</v>
      </c>
      <c r="B204" s="3" t="s">
        <v>21</v>
      </c>
      <c r="C204" s="3" t="str">
        <f>"数学建模与数学实验"</f>
        <v>数学建模与数学实验</v>
      </c>
      <c r="D204" s="3" t="str">
        <f>"实践环节课"</f>
        <v>实践环节课</v>
      </c>
      <c r="E204" s="3" t="str">
        <f>"孙云龙"</f>
        <v>孙云龙</v>
      </c>
      <c r="F204" s="3" t="str">
        <f>"何思淼"</f>
        <v>何思淼</v>
      </c>
      <c r="G204" s="3" t="str">
        <f>"2220202Z1022"</f>
        <v>2220202Z1022</v>
      </c>
      <c r="H204" s="4"/>
      <c r="I204" s="5"/>
    </row>
    <row r="205" spans="1:9" ht="34">
      <c r="A205" s="2">
        <v>202</v>
      </c>
      <c r="B205" s="3" t="s">
        <v>21</v>
      </c>
      <c r="C205" s="3" t="str">
        <f>"数理统计"</f>
        <v>数理统计</v>
      </c>
      <c r="D205" s="3" t="str">
        <f>"专业方向课"</f>
        <v>专业方向课</v>
      </c>
      <c r="E205" s="3" t="str">
        <f>"李绍文"</f>
        <v>李绍文</v>
      </c>
      <c r="F205" s="3" t="str">
        <f>"张浩"</f>
        <v>张浩</v>
      </c>
      <c r="G205" s="3" t="str">
        <f>"2220202Z1010"</f>
        <v>2220202Z1010</v>
      </c>
      <c r="H205" s="4"/>
      <c r="I205" s="5"/>
    </row>
    <row r="206" spans="1:9" ht="34">
      <c r="A206" s="2">
        <v>203</v>
      </c>
      <c r="B206" s="3" t="s">
        <v>21</v>
      </c>
      <c r="C206" s="3" t="str">
        <f>"数学分析II（英文）"</f>
        <v>数学分析II（英文）</v>
      </c>
      <c r="D206" s="3" t="str">
        <f t="shared" ref="D206:D218" si="14">"通识基础课"</f>
        <v>通识基础课</v>
      </c>
      <c r="E206" s="3" t="str">
        <f>"郭训香"</f>
        <v>郭训香</v>
      </c>
      <c r="F206" s="3" t="str">
        <f>"王阳洋"</f>
        <v>王阳洋</v>
      </c>
      <c r="G206" s="3" t="str">
        <f>"1210202Z1013"</f>
        <v>1210202Z1013</v>
      </c>
      <c r="H206" s="4"/>
      <c r="I206" s="5"/>
    </row>
    <row r="207" spans="1:9" ht="34">
      <c r="A207" s="2">
        <v>204</v>
      </c>
      <c r="B207" s="3" t="s">
        <v>21</v>
      </c>
      <c r="C207" s="3" t="str">
        <f>"概率论（理科）"</f>
        <v>概率论（理科）</v>
      </c>
      <c r="D207" s="3" t="str">
        <f t="shared" si="14"/>
        <v>通识基础课</v>
      </c>
      <c r="E207" s="3" t="str">
        <f>"岳佳"</f>
        <v>岳佳</v>
      </c>
      <c r="F207" s="3" t="str">
        <f>"钟林霏"</f>
        <v>钟林霏</v>
      </c>
      <c r="G207" s="3" t="str">
        <f>"1210202Z1012"</f>
        <v>1210202Z1012</v>
      </c>
      <c r="H207" s="4"/>
      <c r="I207" s="5"/>
    </row>
    <row r="208" spans="1:9" ht="34">
      <c r="A208" s="2">
        <v>205</v>
      </c>
      <c r="B208" s="3" t="s">
        <v>21</v>
      </c>
      <c r="C208" s="3" t="str">
        <f>"高等代数Ⅱ"</f>
        <v>高等代数Ⅱ</v>
      </c>
      <c r="D208" s="3" t="str">
        <f t="shared" si="14"/>
        <v>通识基础课</v>
      </c>
      <c r="E208" s="3" t="str">
        <f>"林谦"</f>
        <v>林谦</v>
      </c>
      <c r="F208" s="3" t="str">
        <f>"邹蝶"</f>
        <v>邹蝶</v>
      </c>
      <c r="G208" s="3" t="str">
        <f>"2210202Z1029"</f>
        <v>2210202Z1029</v>
      </c>
      <c r="H208" s="4"/>
      <c r="I208" s="5"/>
    </row>
    <row r="209" spans="1:9" ht="34">
      <c r="A209" s="2">
        <v>206</v>
      </c>
      <c r="B209" s="3" t="s">
        <v>21</v>
      </c>
      <c r="C209" s="3" t="str">
        <f>"高等代数Ⅰ"</f>
        <v>高等代数Ⅰ</v>
      </c>
      <c r="D209" s="3" t="str">
        <f t="shared" si="14"/>
        <v>通识基础课</v>
      </c>
      <c r="E209" s="3" t="str">
        <f>"杜彬彬"</f>
        <v>杜彬彬</v>
      </c>
      <c r="F209" s="3" t="str">
        <f>"葛昂"</f>
        <v>葛昂</v>
      </c>
      <c r="G209" s="3" t="str">
        <f>"221070100005"</f>
        <v>221070100005</v>
      </c>
      <c r="H209" s="4"/>
      <c r="I209" s="5"/>
    </row>
    <row r="210" spans="1:9" ht="34">
      <c r="A210" s="2">
        <v>207</v>
      </c>
      <c r="B210" s="3" t="s">
        <v>21</v>
      </c>
      <c r="C210" s="3" t="str">
        <f>"高等代数I（英文）"</f>
        <v>高等代数I（英文）</v>
      </c>
      <c r="D210" s="3" t="str">
        <f t="shared" si="14"/>
        <v>通识基础课</v>
      </c>
      <c r="E210" s="3" t="str">
        <f>"吕品"</f>
        <v>吕品</v>
      </c>
      <c r="F210" s="3" t="str">
        <f>"李铭萱"</f>
        <v>李铭萱</v>
      </c>
      <c r="G210" s="3" t="str">
        <f>"222120100017"</f>
        <v>222120100017</v>
      </c>
      <c r="H210" s="4"/>
      <c r="I210" s="5"/>
    </row>
    <row r="211" spans="1:9" ht="34">
      <c r="A211" s="2">
        <v>208</v>
      </c>
      <c r="B211" s="3" t="s">
        <v>21</v>
      </c>
      <c r="C211" s="3" t="str">
        <f>"高等代数I（英文）"</f>
        <v>高等代数I（英文）</v>
      </c>
      <c r="D211" s="3" t="str">
        <f t="shared" si="14"/>
        <v>通识基础课</v>
      </c>
      <c r="E211" s="3" t="str">
        <f>"吕品"</f>
        <v>吕品</v>
      </c>
      <c r="F211" s="3" t="str">
        <f>"杜谦"</f>
        <v>杜谦</v>
      </c>
      <c r="G211" s="3" t="str">
        <f>"1201201Z5003"</f>
        <v>1201201Z5003</v>
      </c>
      <c r="H211" s="4"/>
      <c r="I211" s="5"/>
    </row>
    <row r="212" spans="1:9" ht="34">
      <c r="A212" s="2">
        <v>209</v>
      </c>
      <c r="B212" s="3" t="s">
        <v>21</v>
      </c>
      <c r="C212" s="3" t="str">
        <f>"高等数学Ⅱ"</f>
        <v>高等数学Ⅱ</v>
      </c>
      <c r="D212" s="3" t="str">
        <f t="shared" si="14"/>
        <v>通识基础课</v>
      </c>
      <c r="E212" s="3" t="str">
        <f>"刘彩平"</f>
        <v>刘彩平</v>
      </c>
      <c r="F212" s="3" t="str">
        <f>"毛文富"</f>
        <v>毛文富</v>
      </c>
      <c r="G212" s="3" t="str">
        <f>"222070100024"</f>
        <v>222070100024</v>
      </c>
      <c r="H212" s="4"/>
      <c r="I212" s="5"/>
    </row>
    <row r="213" spans="1:9" ht="34">
      <c r="A213" s="2">
        <v>210</v>
      </c>
      <c r="B213" s="3" t="s">
        <v>21</v>
      </c>
      <c r="C213" s="3" t="str">
        <f>"高等代数I（英文）"</f>
        <v>高等代数I（英文）</v>
      </c>
      <c r="D213" s="3" t="str">
        <f t="shared" si="14"/>
        <v>通识基础课</v>
      </c>
      <c r="E213" s="3" t="str">
        <f>"吕品"</f>
        <v>吕品</v>
      </c>
      <c r="F213" s="3" t="str">
        <f>"刘嘉琪"</f>
        <v>刘嘉琪</v>
      </c>
      <c r="G213" s="3" t="str">
        <f>"1190202J5001"</f>
        <v>1190202J5001</v>
      </c>
      <c r="H213" s="4"/>
      <c r="I213" s="5"/>
    </row>
    <row r="214" spans="1:9" ht="34">
      <c r="A214" s="2">
        <v>211</v>
      </c>
      <c r="B214" s="3" t="s">
        <v>21</v>
      </c>
      <c r="C214" s="3" t="str">
        <f>"概率论（理科）"</f>
        <v>概率论（理科）</v>
      </c>
      <c r="D214" s="3" t="str">
        <f t="shared" si="14"/>
        <v>通识基础课</v>
      </c>
      <c r="E214" s="3" t="str">
        <f>"黄文毅"</f>
        <v>黄文毅</v>
      </c>
      <c r="F214" s="3" t="str">
        <f>"刘泠钰"</f>
        <v>刘泠钰</v>
      </c>
      <c r="G214" s="3" t="str">
        <f>"222070100019"</f>
        <v>222070100019</v>
      </c>
      <c r="H214" s="4"/>
      <c r="I214" s="5"/>
    </row>
    <row r="215" spans="1:9" ht="34">
      <c r="A215" s="2">
        <v>212</v>
      </c>
      <c r="B215" s="3" t="s">
        <v>21</v>
      </c>
      <c r="C215" s="3" t="str">
        <f>"数学分析Ⅱ（理科）"</f>
        <v>数学分析Ⅱ（理科）</v>
      </c>
      <c r="D215" s="3" t="str">
        <f t="shared" si="14"/>
        <v>通识基础课</v>
      </c>
      <c r="E215" s="3" t="str">
        <f>"陈小平"</f>
        <v>陈小平</v>
      </c>
      <c r="F215" s="3" t="str">
        <f>"乐海波"</f>
        <v>乐海波</v>
      </c>
      <c r="G215" s="3" t="str">
        <f>"119020204017"</f>
        <v>119020204017</v>
      </c>
      <c r="H215" s="4"/>
      <c r="I215" s="5"/>
    </row>
    <row r="216" spans="1:9" ht="34">
      <c r="A216" s="2">
        <v>213</v>
      </c>
      <c r="B216" s="3" t="s">
        <v>21</v>
      </c>
      <c r="C216" s="3" t="str">
        <f>"高等代数Ⅱ"</f>
        <v>高等代数Ⅱ</v>
      </c>
      <c r="D216" s="3" t="str">
        <f t="shared" si="14"/>
        <v>通识基础课</v>
      </c>
      <c r="E216" s="3" t="str">
        <f>"曹林"</f>
        <v>曹林</v>
      </c>
      <c r="F216" s="3" t="str">
        <f>"向文玉"</f>
        <v>向文玉</v>
      </c>
      <c r="G216" s="3" t="str">
        <f>"2220202Z1023"</f>
        <v>2220202Z1023</v>
      </c>
      <c r="H216" s="4"/>
      <c r="I216" s="5"/>
    </row>
    <row r="217" spans="1:9" ht="34">
      <c r="A217" s="2">
        <v>214</v>
      </c>
      <c r="B217" s="3" t="s">
        <v>21</v>
      </c>
      <c r="C217" s="3" t="str">
        <f>"数学分析Ⅱ（理科）"</f>
        <v>数学分析Ⅱ（理科）</v>
      </c>
      <c r="D217" s="3" t="str">
        <f t="shared" si="14"/>
        <v>通识基础课</v>
      </c>
      <c r="E217" s="3" t="str">
        <f>"陈小平"</f>
        <v>陈小平</v>
      </c>
      <c r="F217" s="3" t="str">
        <f>"张冬雪"</f>
        <v>张冬雪</v>
      </c>
      <c r="G217" s="3" t="str">
        <f>"219071400014"</f>
        <v>219071400014</v>
      </c>
      <c r="H217" s="4"/>
      <c r="I217" s="5"/>
    </row>
    <row r="218" spans="1:9" ht="34">
      <c r="A218" s="2">
        <v>215</v>
      </c>
      <c r="B218" s="3" t="s">
        <v>21</v>
      </c>
      <c r="C218" s="3" t="str">
        <f>"高等代数Ⅱ"</f>
        <v>高等代数Ⅱ</v>
      </c>
      <c r="D218" s="3" t="str">
        <f t="shared" si="14"/>
        <v>通识基础课</v>
      </c>
      <c r="E218" s="3" t="str">
        <f>"李坤"</f>
        <v>李坤</v>
      </c>
      <c r="F218" s="3" t="str">
        <f>"俞孟君"</f>
        <v>俞孟君</v>
      </c>
      <c r="G218" s="3" t="str">
        <f>"222070100002"</f>
        <v>222070100002</v>
      </c>
      <c r="H218" s="4"/>
      <c r="I218" s="5"/>
    </row>
    <row r="219" spans="1:9" ht="34">
      <c r="A219" s="2">
        <v>216</v>
      </c>
      <c r="B219" s="3" t="s">
        <v>21</v>
      </c>
      <c r="C219" s="3" t="str">
        <f>"高等数学Ⅱ"</f>
        <v>高等数学Ⅱ</v>
      </c>
      <c r="D219" s="3" t="str">
        <f>"专业必修课"</f>
        <v>专业必修课</v>
      </c>
      <c r="E219" s="3" t="str">
        <f>"王开弘"</f>
        <v>王开弘</v>
      </c>
      <c r="F219" s="3" t="str">
        <f>"王子悦"</f>
        <v>王子悦</v>
      </c>
      <c r="G219" s="3" t="str">
        <f>"1210202Z1007"</f>
        <v>1210202Z1007</v>
      </c>
      <c r="H219" s="4"/>
      <c r="I219" s="5"/>
    </row>
    <row r="220" spans="1:9" ht="34">
      <c r="A220" s="2">
        <v>217</v>
      </c>
      <c r="B220" s="3" t="s">
        <v>21</v>
      </c>
      <c r="C220" s="3" t="str">
        <f>"高等代数Ⅰ"</f>
        <v>高等代数Ⅰ</v>
      </c>
      <c r="D220" s="3" t="str">
        <f>"通识基础课"</f>
        <v>通识基础课</v>
      </c>
      <c r="E220" s="3" t="str">
        <f>"张炜"</f>
        <v>张炜</v>
      </c>
      <c r="F220" s="3" t="str">
        <f>"刘玥悦"</f>
        <v>刘玥悦</v>
      </c>
      <c r="G220" s="3" t="str">
        <f>"221070100006"</f>
        <v>221070100006</v>
      </c>
      <c r="H220" s="4"/>
      <c r="I220" s="5"/>
    </row>
    <row r="221" spans="1:9" ht="34">
      <c r="A221" s="2">
        <v>218</v>
      </c>
      <c r="B221" s="3" t="s">
        <v>21</v>
      </c>
      <c r="C221" s="3" t="str">
        <f>"数学分析Ⅱ（理科）"</f>
        <v>数学分析Ⅱ（理科）</v>
      </c>
      <c r="D221" s="3" t="str">
        <f>"通识基础课"</f>
        <v>通识基础课</v>
      </c>
      <c r="E221" s="3" t="str">
        <f>"黎伟"</f>
        <v>黎伟</v>
      </c>
      <c r="F221" s="3" t="str">
        <f>"牟佳琪"</f>
        <v>牟佳琪</v>
      </c>
      <c r="G221" s="3" t="str">
        <f>"120120201004"</f>
        <v>120120201004</v>
      </c>
      <c r="H221" s="4"/>
      <c r="I221" s="5"/>
    </row>
    <row r="222" spans="1:9" ht="51">
      <c r="A222" s="2">
        <v>219</v>
      </c>
      <c r="B222" s="3" t="s">
        <v>21</v>
      </c>
      <c r="C222" s="3" t="str">
        <f>"数学分析Ⅰ（理科）（重修）"</f>
        <v>数学分析Ⅰ（理科）（重修）</v>
      </c>
      <c r="D222" s="3" t="str">
        <f>"通识基础课"</f>
        <v>通识基础课</v>
      </c>
      <c r="E222" s="3" t="str">
        <f>"方敏"</f>
        <v>方敏</v>
      </c>
      <c r="F222" s="3" t="str">
        <f>"张倩"</f>
        <v>张倩</v>
      </c>
      <c r="G222" s="3" t="str">
        <f>"1200202Z1008"</f>
        <v>1200202Z1008</v>
      </c>
      <c r="H222" s="4"/>
      <c r="I222" s="5"/>
    </row>
    <row r="223" spans="1:9" ht="34">
      <c r="A223" s="2">
        <v>220</v>
      </c>
      <c r="B223" s="3" t="s">
        <v>21</v>
      </c>
      <c r="C223" s="3" t="str">
        <f>"数学建模与数学实验"</f>
        <v>数学建模与数学实验</v>
      </c>
      <c r="D223" s="3" t="str">
        <f>"专业方向课"</f>
        <v>专业方向课</v>
      </c>
      <c r="E223" s="3" t="str">
        <f>"孙云龙"</f>
        <v>孙云龙</v>
      </c>
      <c r="F223" s="3" t="str">
        <f>"魏欣"</f>
        <v>魏欣</v>
      </c>
      <c r="G223" s="3" t="str">
        <f>"221070100012"</f>
        <v>221070100012</v>
      </c>
      <c r="H223" s="4"/>
      <c r="I223" s="5"/>
    </row>
    <row r="224" spans="1:9" ht="34">
      <c r="A224" s="2">
        <v>221</v>
      </c>
      <c r="B224" s="3" t="s">
        <v>21</v>
      </c>
      <c r="C224" s="3" t="str">
        <f>"数学建模与数学实验"</f>
        <v>数学建模与数学实验</v>
      </c>
      <c r="D224" s="3" t="str">
        <f>"自由选修课"</f>
        <v>自由选修课</v>
      </c>
      <c r="E224" s="3" t="str">
        <f>"戴岱"</f>
        <v>戴岱</v>
      </c>
      <c r="F224" s="3" t="str">
        <f>"聂刘泉"</f>
        <v>聂刘泉</v>
      </c>
      <c r="G224" s="3" t="str">
        <f>"221071400019"</f>
        <v>221071400019</v>
      </c>
      <c r="H224" s="4"/>
      <c r="I224" s="5"/>
    </row>
    <row r="225" spans="1:9" ht="34">
      <c r="A225" s="2">
        <v>222</v>
      </c>
      <c r="B225" s="3" t="s">
        <v>21</v>
      </c>
      <c r="C225" s="3" t="str">
        <f>"高等代数Ⅱ"</f>
        <v>高等代数Ⅱ</v>
      </c>
      <c r="D225" s="3" t="str">
        <f t="shared" ref="D225:D233" si="15">"通识基础课"</f>
        <v>通识基础课</v>
      </c>
      <c r="E225" s="3" t="str">
        <f>"曹林"</f>
        <v>曹林</v>
      </c>
      <c r="F225" s="3" t="str">
        <f>"余湃"</f>
        <v>余湃</v>
      </c>
      <c r="G225" s="3" t="str">
        <f>"221070100014"</f>
        <v>221070100014</v>
      </c>
      <c r="H225" s="4"/>
      <c r="I225" s="5"/>
    </row>
    <row r="226" spans="1:9" ht="34">
      <c r="A226" s="2">
        <v>223</v>
      </c>
      <c r="B226" s="3" t="s">
        <v>21</v>
      </c>
      <c r="C226" s="3" t="str">
        <f>"高等数学Ⅱ"</f>
        <v>高等数学Ⅱ</v>
      </c>
      <c r="D226" s="3" t="str">
        <f t="shared" si="15"/>
        <v>通识基础课</v>
      </c>
      <c r="E226" s="3" t="str">
        <f>"余喜生"</f>
        <v>余喜生</v>
      </c>
      <c r="F226" s="3" t="str">
        <f>"匡炳豪"</f>
        <v>匡炳豪</v>
      </c>
      <c r="G226" s="3" t="str">
        <f>"2210202Z1011"</f>
        <v>2210202Z1011</v>
      </c>
      <c r="H226" s="4"/>
      <c r="I226" s="5"/>
    </row>
    <row r="227" spans="1:9" ht="34">
      <c r="A227" s="2">
        <v>224</v>
      </c>
      <c r="B227" s="3" t="s">
        <v>21</v>
      </c>
      <c r="C227" s="3" t="str">
        <f>"数学分析Ⅱ（理科）"</f>
        <v>数学分析Ⅱ（理科）</v>
      </c>
      <c r="D227" s="3" t="str">
        <f t="shared" si="15"/>
        <v>通识基础课</v>
      </c>
      <c r="E227" s="3" t="str">
        <f>"孟开文"</f>
        <v>孟开文</v>
      </c>
      <c r="F227" s="3" t="str">
        <f>"冯泽宇"</f>
        <v>冯泽宇</v>
      </c>
      <c r="G227" s="3" t="str">
        <f>"1210202Z1010"</f>
        <v>1210202Z1010</v>
      </c>
      <c r="H227" s="4"/>
      <c r="I227" s="5"/>
    </row>
    <row r="228" spans="1:9" ht="34">
      <c r="A228" s="2">
        <v>225</v>
      </c>
      <c r="B228" s="3" t="s">
        <v>21</v>
      </c>
      <c r="C228" s="3" t="str">
        <f>"数学分析Ⅱ（理科）"</f>
        <v>数学分析Ⅱ（理科）</v>
      </c>
      <c r="D228" s="3" t="str">
        <f t="shared" si="15"/>
        <v>通识基础课</v>
      </c>
      <c r="E228" s="3" t="str">
        <f>"王磊"</f>
        <v>王磊</v>
      </c>
      <c r="F228" s="3" t="str">
        <f>"张焱"</f>
        <v>张焱</v>
      </c>
      <c r="G228" s="3" t="str">
        <f>"221070100015"</f>
        <v>221070100015</v>
      </c>
      <c r="H228" s="4"/>
      <c r="I228" s="5"/>
    </row>
    <row r="229" spans="1:9" ht="34">
      <c r="A229" s="2">
        <v>226</v>
      </c>
      <c r="B229" s="3" t="s">
        <v>21</v>
      </c>
      <c r="C229" s="3" t="str">
        <f>"概率论（理科）"</f>
        <v>概率论（理科）</v>
      </c>
      <c r="D229" s="3" t="str">
        <f t="shared" si="15"/>
        <v>通识基础课</v>
      </c>
      <c r="E229" s="3" t="str">
        <f>"吴小丹"</f>
        <v>吴小丹</v>
      </c>
      <c r="F229" s="3" t="str">
        <f>"李婷"</f>
        <v>李婷</v>
      </c>
      <c r="G229" s="3" t="str">
        <f>"120020202003"</f>
        <v>120020202003</v>
      </c>
      <c r="H229" s="4"/>
      <c r="I229" s="5"/>
    </row>
    <row r="230" spans="1:9" ht="34">
      <c r="A230" s="2">
        <v>227</v>
      </c>
      <c r="B230" s="3" t="s">
        <v>21</v>
      </c>
      <c r="C230" s="3" t="str">
        <f>"数学分析Ⅱ（理科）"</f>
        <v>数学分析Ⅱ（理科）</v>
      </c>
      <c r="D230" s="3" t="str">
        <f t="shared" si="15"/>
        <v>通识基础课</v>
      </c>
      <c r="E230" s="3" t="str">
        <f>"冯保伟"</f>
        <v>冯保伟</v>
      </c>
      <c r="F230" s="3" t="str">
        <f>"周芯竹"</f>
        <v>周芯竹</v>
      </c>
      <c r="G230" s="3" t="str">
        <f>"222020204197"</f>
        <v>222020204197</v>
      </c>
      <c r="H230" s="4"/>
      <c r="I230" s="5"/>
    </row>
    <row r="231" spans="1:9" ht="34">
      <c r="A231" s="2">
        <v>228</v>
      </c>
      <c r="B231" s="3" t="s">
        <v>21</v>
      </c>
      <c r="C231" s="3" t="str">
        <f>"数学分析Ⅱ（理科）"</f>
        <v>数学分析Ⅱ（理科）</v>
      </c>
      <c r="D231" s="3" t="str">
        <f t="shared" si="15"/>
        <v>通识基础课</v>
      </c>
      <c r="E231" s="3" t="str">
        <f>"方敏"</f>
        <v>方敏</v>
      </c>
      <c r="F231" s="3" t="str">
        <f>"袁方成"</f>
        <v>袁方成</v>
      </c>
      <c r="G231" s="3" t="str">
        <f>"2220202Z1006"</f>
        <v>2220202Z1006</v>
      </c>
      <c r="H231" s="4"/>
      <c r="I231" s="5"/>
    </row>
    <row r="232" spans="1:9" ht="34">
      <c r="A232" s="2">
        <v>229</v>
      </c>
      <c r="B232" s="3" t="s">
        <v>21</v>
      </c>
      <c r="C232" s="3" t="str">
        <f>"高等数学Ⅱ"</f>
        <v>高等数学Ⅱ</v>
      </c>
      <c r="D232" s="3" t="str">
        <f t="shared" si="15"/>
        <v>通识基础课</v>
      </c>
      <c r="E232" s="3" t="str">
        <f>"李楠"</f>
        <v>李楠</v>
      </c>
      <c r="F232" s="3" t="str">
        <f>"郝文静"</f>
        <v>郝文静</v>
      </c>
      <c r="G232" s="3" t="str">
        <f>"1190202Z1012"</f>
        <v>1190202Z1012</v>
      </c>
      <c r="H232" s="4"/>
      <c r="I232" s="5"/>
    </row>
    <row r="233" spans="1:9" ht="34">
      <c r="A233" s="2">
        <v>230</v>
      </c>
      <c r="B233" s="3" t="s">
        <v>21</v>
      </c>
      <c r="C233" s="3" t="str">
        <f>"高等数学Ⅱ"</f>
        <v>高等数学Ⅱ</v>
      </c>
      <c r="D233" s="3" t="str">
        <f t="shared" si="15"/>
        <v>通识基础课</v>
      </c>
      <c r="E233" s="3" t="str">
        <f>"刘彩平"</f>
        <v>刘彩平</v>
      </c>
      <c r="F233" s="3" t="str">
        <f>"芦彦"</f>
        <v>芦彦</v>
      </c>
      <c r="G233" s="3" t="str">
        <f>"222070100017"</f>
        <v>222070100017</v>
      </c>
      <c r="H233" s="4"/>
      <c r="I233" s="5"/>
    </row>
    <row r="234" spans="1:9" ht="34">
      <c r="A234" s="2">
        <v>231</v>
      </c>
      <c r="B234" s="3" t="s">
        <v>21</v>
      </c>
      <c r="C234" s="3" t="str">
        <f>"运筹学"</f>
        <v>运筹学</v>
      </c>
      <c r="D234" s="3" t="str">
        <f>"专业必修课"</f>
        <v>专业必修课</v>
      </c>
      <c r="E234" s="3" t="str">
        <f>"张文燕"</f>
        <v>张文燕</v>
      </c>
      <c r="F234" s="3" t="str">
        <f>"黄红振"</f>
        <v>黄红振</v>
      </c>
      <c r="G234" s="3" t="str">
        <f>"1220202Z1003"</f>
        <v>1220202Z1003</v>
      </c>
      <c r="H234" s="4"/>
      <c r="I234" s="5"/>
    </row>
    <row r="235" spans="1:9" ht="34">
      <c r="A235" s="2">
        <v>232</v>
      </c>
      <c r="B235" s="3" t="s">
        <v>21</v>
      </c>
      <c r="C235" s="3" t="str">
        <f>"数学分析Ⅱ（理科）"</f>
        <v>数学分析Ⅱ（理科）</v>
      </c>
      <c r="D235" s="3" t="str">
        <f>"通识基础课"</f>
        <v>通识基础课</v>
      </c>
      <c r="E235" s="3" t="str">
        <f>"尹正"</f>
        <v>尹正</v>
      </c>
      <c r="F235" s="3" t="str">
        <f>"丁登龙"</f>
        <v>丁登龙</v>
      </c>
      <c r="G235" s="3" t="str">
        <f>"121020202004"</f>
        <v>121020202004</v>
      </c>
      <c r="H235" s="4"/>
      <c r="I235" s="5"/>
    </row>
    <row r="236" spans="1:9" ht="34">
      <c r="A236" s="2">
        <v>233</v>
      </c>
      <c r="B236" s="3" t="s">
        <v>21</v>
      </c>
      <c r="C236" s="3" t="str">
        <f>"高等代数Ⅱ"</f>
        <v>高等代数Ⅱ</v>
      </c>
      <c r="D236" s="3" t="str">
        <f>"通识基础课"</f>
        <v>通识基础课</v>
      </c>
      <c r="E236" s="3" t="str">
        <f>"朱胜坤"</f>
        <v>朱胜坤</v>
      </c>
      <c r="F236" s="3" t="str">
        <f>"唐珊珊"</f>
        <v>唐珊珊</v>
      </c>
      <c r="G236" s="3" t="str">
        <f>"222070100020"</f>
        <v>222070100020</v>
      </c>
      <c r="H236" s="4"/>
      <c r="I236" s="5"/>
    </row>
    <row r="237" spans="1:9" ht="34">
      <c r="A237" s="2">
        <v>234</v>
      </c>
      <c r="B237" s="3" t="s">
        <v>21</v>
      </c>
      <c r="C237" s="3" t="str">
        <f>"数学分析Ⅱ（理科）"</f>
        <v>数学分析Ⅱ（理科）</v>
      </c>
      <c r="D237" s="3" t="str">
        <f>"通识基础课"</f>
        <v>通识基础课</v>
      </c>
      <c r="E237" s="3" t="str">
        <f>"方敏"</f>
        <v>方敏</v>
      </c>
      <c r="F237" s="3" t="str">
        <f>"王丽媛"</f>
        <v>王丽媛</v>
      </c>
      <c r="G237" s="3" t="str">
        <f>"1220202Z1008"</f>
        <v>1220202Z1008</v>
      </c>
      <c r="H237" s="4"/>
      <c r="I237" s="5"/>
    </row>
    <row r="238" spans="1:9" ht="34">
      <c r="A238" s="2">
        <v>235</v>
      </c>
      <c r="B238" s="3" t="s">
        <v>21</v>
      </c>
      <c r="C238" s="3" t="str">
        <f>"高等代数Ⅰ"</f>
        <v>高等代数Ⅰ</v>
      </c>
      <c r="D238" s="3" t="str">
        <f>"通识基础课"</f>
        <v>通识基础课</v>
      </c>
      <c r="E238" s="3" t="str">
        <f>"于翔"</f>
        <v>于翔</v>
      </c>
      <c r="F238" s="3" t="str">
        <f>"薛倩倩"</f>
        <v>薛倩倩</v>
      </c>
      <c r="G238" s="3" t="str">
        <f>"222070100008"</f>
        <v>222070100008</v>
      </c>
      <c r="H238" s="4"/>
      <c r="I238" s="5"/>
    </row>
    <row r="239" spans="1:9" ht="34">
      <c r="A239" s="2">
        <v>236</v>
      </c>
      <c r="B239" s="3" t="s">
        <v>21</v>
      </c>
      <c r="C239" s="3" t="str">
        <f>"概率论（理科）"</f>
        <v>概率论（理科）</v>
      </c>
      <c r="D239" s="3" t="str">
        <f>"通识基础课"</f>
        <v>通识基础课</v>
      </c>
      <c r="E239" s="3" t="str">
        <f>"吴小丹"</f>
        <v>吴小丹</v>
      </c>
      <c r="F239" s="3" t="str">
        <f>"唐超"</f>
        <v>唐超</v>
      </c>
      <c r="G239" s="3" t="str">
        <f>"1220202Z1006"</f>
        <v>1220202Z1006</v>
      </c>
      <c r="H239" s="4"/>
      <c r="I239" s="5"/>
    </row>
    <row r="240" spans="1:9" ht="34">
      <c r="A240" s="2">
        <v>237</v>
      </c>
      <c r="B240" s="3" t="s">
        <v>21</v>
      </c>
      <c r="C240" s="3" t="str">
        <f>"随机过程"</f>
        <v>随机过程</v>
      </c>
      <c r="D240" s="3" t="str">
        <f>"自由选修课"</f>
        <v>自由选修课</v>
      </c>
      <c r="E240" s="3" t="str">
        <f>"徐凤"</f>
        <v>徐凤</v>
      </c>
      <c r="F240" s="3" t="str">
        <f>"王志昊"</f>
        <v>王志昊</v>
      </c>
      <c r="G240" s="3" t="str">
        <f>"2220202Z2006"</f>
        <v>2220202Z2006</v>
      </c>
      <c r="H240" s="4"/>
      <c r="I240" s="5"/>
    </row>
    <row r="241" spans="1:9" ht="34">
      <c r="A241" s="2">
        <v>238</v>
      </c>
      <c r="B241" s="3" t="s">
        <v>21</v>
      </c>
      <c r="C241" s="3" t="str">
        <f>"高等代数Ⅱ"</f>
        <v>高等代数Ⅱ</v>
      </c>
      <c r="D241" s="3" t="str">
        <f>"通识基础课"</f>
        <v>通识基础课</v>
      </c>
      <c r="E241" s="3" t="str">
        <f>"曾嵘"</f>
        <v>曾嵘</v>
      </c>
      <c r="F241" s="3" t="str">
        <f>"潘行"</f>
        <v>潘行</v>
      </c>
      <c r="G241" s="3" t="str">
        <f>"221070100013"</f>
        <v>221070100013</v>
      </c>
      <c r="H241" s="4"/>
      <c r="I241" s="5"/>
    </row>
    <row r="242" spans="1:9" ht="34">
      <c r="A242" s="2">
        <v>239</v>
      </c>
      <c r="B242" s="3" t="s">
        <v>22</v>
      </c>
      <c r="C242" s="3" t="str">
        <f>"数理统计（理）"</f>
        <v>数理统计（理）</v>
      </c>
      <c r="D242" s="3" t="str">
        <f>"大学科基础课"</f>
        <v>大学科基础课</v>
      </c>
      <c r="E242" s="3" t="str">
        <f>"吴量"</f>
        <v>吴量</v>
      </c>
      <c r="F242" s="3" t="str">
        <f>"文守道"</f>
        <v>文守道</v>
      </c>
      <c r="G242" s="3" t="str">
        <f>"120071400003"</f>
        <v>120071400003</v>
      </c>
      <c r="H242" s="4"/>
      <c r="I242" s="5"/>
    </row>
    <row r="243" spans="1:9" ht="34">
      <c r="A243" s="2">
        <v>240</v>
      </c>
      <c r="B243" s="3" t="s">
        <v>22</v>
      </c>
      <c r="C243" s="3" t="str">
        <f>"统计学"</f>
        <v>统计学</v>
      </c>
      <c r="D243" s="3" t="str">
        <f>"大学科基础课"</f>
        <v>大学科基础课</v>
      </c>
      <c r="E243" s="3" t="str">
        <f>"李俭富"</f>
        <v>李俭富</v>
      </c>
      <c r="F243" s="3" t="str">
        <f>"谭云丹"</f>
        <v>谭云丹</v>
      </c>
      <c r="G243" s="3" t="str">
        <f>"221020201004"</f>
        <v>221020201004</v>
      </c>
      <c r="H243" s="4"/>
      <c r="I243" s="5"/>
    </row>
    <row r="244" spans="1:9" ht="34">
      <c r="A244" s="2">
        <v>241</v>
      </c>
      <c r="B244" s="3" t="s">
        <v>22</v>
      </c>
      <c r="C244" s="3" t="str">
        <f>"计量经济学MOOC"</f>
        <v>计量经济学MOOC</v>
      </c>
      <c r="D244" s="3" t="str">
        <f>"慕课"</f>
        <v>慕课</v>
      </c>
      <c r="E244" s="3" t="str">
        <f>"范国斌"</f>
        <v>范国斌</v>
      </c>
      <c r="F244" s="3" t="str">
        <f>"杨婷婷"</f>
        <v>杨婷婷</v>
      </c>
      <c r="G244" s="3" t="str">
        <f>"221020208017"</f>
        <v>221020208017</v>
      </c>
      <c r="H244" s="4"/>
      <c r="I244" s="5"/>
    </row>
    <row r="245" spans="1:9" ht="34">
      <c r="A245" s="2">
        <v>242</v>
      </c>
      <c r="B245" s="3" t="s">
        <v>22</v>
      </c>
      <c r="C245" s="3" t="str">
        <f>"数理统计（理）"</f>
        <v>数理统计（理）</v>
      </c>
      <c r="D245" s="3" t="str">
        <f>"大学科基础课"</f>
        <v>大学科基础课</v>
      </c>
      <c r="E245" s="3" t="str">
        <f>"马铁丰"</f>
        <v>马铁丰</v>
      </c>
      <c r="F245" s="3" t="str">
        <f>"熊智临"</f>
        <v>熊智临</v>
      </c>
      <c r="G245" s="3" t="str">
        <f>"121020208005"</f>
        <v>121020208005</v>
      </c>
      <c r="H245" s="4"/>
      <c r="I245" s="5"/>
    </row>
    <row r="246" spans="1:9" ht="34">
      <c r="A246" s="2">
        <v>243</v>
      </c>
      <c r="B246" s="3" t="s">
        <v>22</v>
      </c>
      <c r="C246" s="3" t="str">
        <f>"数据挖掘与应用"</f>
        <v>数据挖掘与应用</v>
      </c>
      <c r="D246" s="3" t="str">
        <f>"专业必修课"</f>
        <v>专业必修课</v>
      </c>
      <c r="E246" s="3" t="str">
        <f>"成青"</f>
        <v>成青</v>
      </c>
      <c r="F246" s="3" t="str">
        <f>"李思漪"</f>
        <v>李思漪</v>
      </c>
      <c r="G246" s="3" t="str">
        <f>"221071400005"</f>
        <v>221071400005</v>
      </c>
      <c r="H246" s="4"/>
      <c r="I246" s="5"/>
    </row>
    <row r="247" spans="1:9" ht="34">
      <c r="A247" s="2">
        <v>244</v>
      </c>
      <c r="B247" s="3" t="s">
        <v>22</v>
      </c>
      <c r="C247" s="3" t="str">
        <f>"数理统计（理）"</f>
        <v>数理统计（理）</v>
      </c>
      <c r="D247" s="3" t="str">
        <f>"大学科基础课"</f>
        <v>大学科基础课</v>
      </c>
      <c r="E247" s="3" t="str">
        <f>"马铁丰"</f>
        <v>马铁丰</v>
      </c>
      <c r="F247" s="3" t="str">
        <f>"任建梅"</f>
        <v>任建梅</v>
      </c>
      <c r="G247" s="3" t="str">
        <f>"220071400006"</f>
        <v>220071400006</v>
      </c>
      <c r="H247" s="4"/>
      <c r="I247" s="5"/>
    </row>
    <row r="248" spans="1:9" ht="34">
      <c r="A248" s="2">
        <v>245</v>
      </c>
      <c r="B248" s="3" t="s">
        <v>22</v>
      </c>
      <c r="C248" s="3" t="str">
        <f>"数理统计（理）"</f>
        <v>数理统计（理）</v>
      </c>
      <c r="D248" s="3" t="str">
        <f>"大学科基础课"</f>
        <v>大学科基础课</v>
      </c>
      <c r="E248" s="3" t="str">
        <f>"兰伟"</f>
        <v>兰伟</v>
      </c>
      <c r="F248" s="3" t="str">
        <f>"何星佐"</f>
        <v>何星佐</v>
      </c>
      <c r="G248" s="3" t="str">
        <f>"122020208007"</f>
        <v>122020208007</v>
      </c>
      <c r="H248" s="4"/>
      <c r="I248" s="5"/>
    </row>
    <row r="249" spans="1:9" ht="34">
      <c r="A249" s="2">
        <v>246</v>
      </c>
      <c r="B249" s="3" t="s">
        <v>22</v>
      </c>
      <c r="C249" s="3" t="str">
        <f>"统计学"</f>
        <v>统计学</v>
      </c>
      <c r="D249" s="3" t="str">
        <f>"大学科基础课"</f>
        <v>大学科基础课</v>
      </c>
      <c r="E249" s="3" t="str">
        <f>"王青华"</f>
        <v>王青华</v>
      </c>
      <c r="F249" s="3" t="str">
        <f>"刘国军"</f>
        <v>刘国军</v>
      </c>
      <c r="G249" s="3" t="str">
        <f>"121020208006"</f>
        <v>121020208006</v>
      </c>
      <c r="H249" s="4"/>
      <c r="I249" s="5"/>
    </row>
    <row r="250" spans="1:9" ht="34">
      <c r="A250" s="2">
        <v>247</v>
      </c>
      <c r="B250" s="3" t="s">
        <v>22</v>
      </c>
      <c r="C250" s="3" t="str">
        <f>"国民经济统计学"</f>
        <v>国民经济统计学</v>
      </c>
      <c r="D250" s="3" t="str">
        <f>"专业必修课"</f>
        <v>专业必修课</v>
      </c>
      <c r="E250" s="3" t="str">
        <f>"黎春"</f>
        <v>黎春</v>
      </c>
      <c r="F250" s="3" t="str">
        <f>"胡云峰"</f>
        <v>胡云峰</v>
      </c>
      <c r="G250" s="3" t="str">
        <f>"221020208004"</f>
        <v>221020208004</v>
      </c>
      <c r="H250" s="4"/>
      <c r="I250" s="5"/>
    </row>
    <row r="251" spans="1:9" ht="34">
      <c r="A251" s="2">
        <v>248</v>
      </c>
      <c r="B251" s="3" t="s">
        <v>22</v>
      </c>
      <c r="C251" s="3" t="str">
        <f>"抽样调查与应用"</f>
        <v>抽样调查与应用</v>
      </c>
      <c r="D251" s="3" t="str">
        <f>"专业方向课"</f>
        <v>专业方向课</v>
      </c>
      <c r="E251" s="3" t="str">
        <f>"夏怡凡"</f>
        <v>夏怡凡</v>
      </c>
      <c r="F251" s="3" t="str">
        <f>"李扶摇"</f>
        <v>李扶摇</v>
      </c>
      <c r="G251" s="3" t="str">
        <f>"121020204048"</f>
        <v>121020204048</v>
      </c>
      <c r="H251" s="4"/>
      <c r="I251" s="5"/>
    </row>
    <row r="252" spans="1:9" ht="34">
      <c r="A252" s="2">
        <v>249</v>
      </c>
      <c r="B252" s="3" t="s">
        <v>22</v>
      </c>
      <c r="C252" s="3" t="str">
        <f>"统计学"</f>
        <v>统计学</v>
      </c>
      <c r="D252" s="3" t="str">
        <f>"大学科基础课"</f>
        <v>大学科基础课</v>
      </c>
      <c r="E252" s="3" t="str">
        <f>"夏怡凡"</f>
        <v>夏怡凡</v>
      </c>
      <c r="F252" s="3" t="str">
        <f>"王宇雪"</f>
        <v>王宇雪</v>
      </c>
      <c r="G252" s="3" t="str">
        <f>"221071400002"</f>
        <v>221071400002</v>
      </c>
      <c r="H252" s="4"/>
      <c r="I252" s="5"/>
    </row>
    <row r="253" spans="1:9" ht="34">
      <c r="A253" s="2">
        <v>250</v>
      </c>
      <c r="B253" s="3" t="s">
        <v>22</v>
      </c>
      <c r="C253" s="3" t="str">
        <f>"计量经济学"</f>
        <v>计量经济学</v>
      </c>
      <c r="D253" s="3" t="str">
        <f>"大学科基础课"</f>
        <v>大学科基础课</v>
      </c>
      <c r="E253" s="3" t="str">
        <f>"杨岚"</f>
        <v>杨岚</v>
      </c>
      <c r="F253" s="3" t="str">
        <f>"田振中"</f>
        <v>田振中</v>
      </c>
      <c r="G253" s="3" t="str">
        <f>"121020209003"</f>
        <v>121020209003</v>
      </c>
      <c r="H253" s="4"/>
      <c r="I253" s="5"/>
    </row>
    <row r="254" spans="1:9" ht="34">
      <c r="A254" s="2">
        <v>251</v>
      </c>
      <c r="B254" s="3" t="s">
        <v>22</v>
      </c>
      <c r="C254" s="3" t="str">
        <f>"数理统计（理）"</f>
        <v>数理统计（理）</v>
      </c>
      <c r="D254" s="3" t="str">
        <f>"大学科基础课"</f>
        <v>大学科基础课</v>
      </c>
      <c r="E254" s="3" t="str">
        <f>"戴琳琳"</f>
        <v>戴琳琳</v>
      </c>
      <c r="F254" s="3" t="str">
        <f>"冯佳晗"</f>
        <v>冯佳晗</v>
      </c>
      <c r="G254" s="3" t="str">
        <f>"121020209002"</f>
        <v>121020209002</v>
      </c>
      <c r="H254" s="4"/>
      <c r="I254" s="5"/>
    </row>
    <row r="255" spans="1:9" ht="34">
      <c r="A255" s="2">
        <v>252</v>
      </c>
      <c r="B255" s="3" t="s">
        <v>22</v>
      </c>
      <c r="C255" s="3" t="str">
        <f>"数据智能前沿"</f>
        <v>数据智能前沿</v>
      </c>
      <c r="D255" s="3" t="str">
        <f>"专业方向课"</f>
        <v>专业方向课</v>
      </c>
      <c r="E255" s="3" t="str">
        <f>"谭莹"</f>
        <v>谭莹</v>
      </c>
      <c r="F255" s="3" t="str">
        <f>"王秋晗"</f>
        <v>王秋晗</v>
      </c>
      <c r="G255" s="3" t="str">
        <f>"1210201Z2002"</f>
        <v>1210201Z2002</v>
      </c>
      <c r="H255" s="4"/>
      <c r="I255" s="5"/>
    </row>
    <row r="256" spans="1:9" ht="34">
      <c r="A256" s="2">
        <v>253</v>
      </c>
      <c r="B256" s="3" t="s">
        <v>22</v>
      </c>
      <c r="C256" s="3" t="str">
        <f>"机器学习与数据挖掘"</f>
        <v>机器学习与数据挖掘</v>
      </c>
      <c r="D256" s="3" t="str">
        <f>"专业方向课"</f>
        <v>专业方向课</v>
      </c>
      <c r="E256" s="3" t="str">
        <f>"谢尚宏"</f>
        <v>谢尚宏</v>
      </c>
      <c r="F256" s="3" t="str">
        <f>"易荷玲"</f>
        <v>易荷玲</v>
      </c>
      <c r="G256" s="3" t="str">
        <f>"121020204023"</f>
        <v>121020204023</v>
      </c>
      <c r="H256" s="4"/>
      <c r="I256" s="5"/>
    </row>
    <row r="257" spans="1:9" ht="34">
      <c r="A257" s="2">
        <v>254</v>
      </c>
      <c r="B257" s="3" t="s">
        <v>22</v>
      </c>
      <c r="C257" s="3" t="str">
        <f>"数理统计（理）"</f>
        <v>数理统计（理）</v>
      </c>
      <c r="D257" s="3" t="str">
        <f>"大学科基础课"</f>
        <v>大学科基础课</v>
      </c>
      <c r="E257" s="3" t="str">
        <f>"马昀蓓"</f>
        <v>马昀蓓</v>
      </c>
      <c r="F257" s="3" t="str">
        <f>"江自豪"</f>
        <v>江自豪</v>
      </c>
      <c r="G257" s="3" t="str">
        <f>"220071400015"</f>
        <v>220071400015</v>
      </c>
      <c r="H257" s="4"/>
      <c r="I257" s="5"/>
    </row>
    <row r="258" spans="1:9" ht="34">
      <c r="A258" s="2">
        <v>255</v>
      </c>
      <c r="B258" s="3" t="s">
        <v>22</v>
      </c>
      <c r="C258" s="3" t="str">
        <f>"统计学"</f>
        <v>统计学</v>
      </c>
      <c r="D258" s="3" t="str">
        <f>"大学科基础课"</f>
        <v>大学科基础课</v>
      </c>
      <c r="E258" s="3" t="str">
        <f>"李俭富"</f>
        <v>李俭富</v>
      </c>
      <c r="F258" s="3" t="str">
        <f>"惠欣欣"</f>
        <v>惠欣欣</v>
      </c>
      <c r="G258" s="3" t="str">
        <f>"219020208022"</f>
        <v>219020208022</v>
      </c>
      <c r="H258" s="4"/>
      <c r="I258" s="5"/>
    </row>
    <row r="259" spans="1:9" ht="34">
      <c r="A259" s="2">
        <v>256</v>
      </c>
      <c r="B259" s="3" t="s">
        <v>22</v>
      </c>
      <c r="C259" s="3" t="str">
        <f>"统计学"</f>
        <v>统计学</v>
      </c>
      <c r="D259" s="3" t="str">
        <f>"大学科基础课"</f>
        <v>大学科基础课</v>
      </c>
      <c r="E259" s="3" t="str">
        <f>"谭莹"</f>
        <v>谭莹</v>
      </c>
      <c r="F259" s="3" t="str">
        <f>"毛海霞"</f>
        <v>毛海霞</v>
      </c>
      <c r="G259" s="3" t="str">
        <f>"2221201Z5026"</f>
        <v>2221201Z5026</v>
      </c>
      <c r="H259" s="4"/>
      <c r="I259" s="5"/>
    </row>
    <row r="260" spans="1:9" ht="34">
      <c r="A260" s="2">
        <v>257</v>
      </c>
      <c r="B260" s="3" t="s">
        <v>22</v>
      </c>
      <c r="C260" s="3" t="str">
        <f>"数理统计原理"</f>
        <v>数理统计原理</v>
      </c>
      <c r="D260" s="3" t="str">
        <f>"大学科基础课"</f>
        <v>大学科基础课</v>
      </c>
      <c r="E260" s="3" t="str">
        <f>"何婧"</f>
        <v>何婧</v>
      </c>
      <c r="F260" s="3" t="str">
        <f>"张丹宇"</f>
        <v>张丹宇</v>
      </c>
      <c r="G260" s="3" t="str">
        <f>"221071400014"</f>
        <v>221071400014</v>
      </c>
      <c r="H260" s="4"/>
      <c r="I260" s="5"/>
    </row>
    <row r="261" spans="1:9" ht="34">
      <c r="A261" s="2">
        <v>258</v>
      </c>
      <c r="B261" s="3" t="s">
        <v>22</v>
      </c>
      <c r="C261" s="3" t="str">
        <f>"数理统计（理）"</f>
        <v>数理统计（理）</v>
      </c>
      <c r="D261" s="3" t="str">
        <f>"大学科基础课"</f>
        <v>大学科基础课</v>
      </c>
      <c r="E261" s="3" t="str">
        <f>"戴琳琳"</f>
        <v>戴琳琳</v>
      </c>
      <c r="F261" s="3" t="str">
        <f>"张皓越"</f>
        <v>张皓越</v>
      </c>
      <c r="G261" s="3" t="str">
        <f>"121020204024"</f>
        <v>121020204024</v>
      </c>
      <c r="H261" s="4"/>
      <c r="I261" s="5"/>
    </row>
    <row r="262" spans="1:9" ht="34">
      <c r="A262" s="2">
        <v>259</v>
      </c>
      <c r="B262" s="3" t="s">
        <v>22</v>
      </c>
      <c r="C262" s="3" t="str">
        <f>"多元统计分析"</f>
        <v>多元统计分析</v>
      </c>
      <c r="D262" s="3" t="str">
        <f>"专业必修课"</f>
        <v>专业必修课</v>
      </c>
      <c r="E262" s="3" t="str">
        <f>"陈雪蓉"</f>
        <v>陈雪蓉</v>
      </c>
      <c r="F262" s="3" t="str">
        <f>"陈露"</f>
        <v>陈露</v>
      </c>
      <c r="G262" s="3" t="str">
        <f>"221071400004"</f>
        <v>221071400004</v>
      </c>
      <c r="H262" s="4"/>
      <c r="I262" s="5"/>
    </row>
    <row r="263" spans="1:9" ht="34">
      <c r="A263" s="2">
        <v>260</v>
      </c>
      <c r="B263" s="3" t="s">
        <v>22</v>
      </c>
      <c r="C263" s="3" t="str">
        <f>"数理统计（理）"</f>
        <v>数理统计（理）</v>
      </c>
      <c r="D263" s="3" t="str">
        <f t="shared" ref="D263:D272" si="16">"大学科基础课"</f>
        <v>大学科基础课</v>
      </c>
      <c r="E263" s="3" t="str">
        <f>"戴琳琳"</f>
        <v>戴琳琳</v>
      </c>
      <c r="F263" s="3" t="str">
        <f>"舒琴"</f>
        <v>舒琴</v>
      </c>
      <c r="G263" s="3" t="str">
        <f>"221071400007"</f>
        <v>221071400007</v>
      </c>
      <c r="H263" s="4"/>
      <c r="I263" s="5"/>
    </row>
    <row r="264" spans="1:9" ht="34">
      <c r="A264" s="2">
        <v>261</v>
      </c>
      <c r="B264" s="3" t="s">
        <v>22</v>
      </c>
      <c r="C264" s="3" t="str">
        <f>"统计学"</f>
        <v>统计学</v>
      </c>
      <c r="D264" s="3" t="str">
        <f t="shared" si="16"/>
        <v>大学科基础课</v>
      </c>
      <c r="E264" s="3" t="str">
        <f>"何雅兴"</f>
        <v>何雅兴</v>
      </c>
      <c r="F264" s="3" t="str">
        <f>"白雅洁"</f>
        <v>白雅洁</v>
      </c>
      <c r="G264" s="3" t="str">
        <f>"120020208005"</f>
        <v>120020208005</v>
      </c>
      <c r="H264" s="4"/>
      <c r="I264" s="5"/>
    </row>
    <row r="265" spans="1:9" ht="34">
      <c r="A265" s="2">
        <v>262</v>
      </c>
      <c r="B265" s="3" t="s">
        <v>22</v>
      </c>
      <c r="C265" s="3" t="str">
        <f t="shared" ref="C265:C270" si="17">"数理统计（理）"</f>
        <v>数理统计（理）</v>
      </c>
      <c r="D265" s="3" t="str">
        <f t="shared" si="16"/>
        <v>大学科基础课</v>
      </c>
      <c r="E265" s="3" t="str">
        <f>"马昀蓓"</f>
        <v>马昀蓓</v>
      </c>
      <c r="F265" s="3" t="str">
        <f>"王敏"</f>
        <v>王敏</v>
      </c>
      <c r="G265" s="3" t="str">
        <f>"220020208005"</f>
        <v>220020208005</v>
      </c>
      <c r="H265" s="4"/>
      <c r="I265" s="5"/>
    </row>
    <row r="266" spans="1:9" ht="34">
      <c r="A266" s="2">
        <v>263</v>
      </c>
      <c r="B266" s="3" t="s">
        <v>22</v>
      </c>
      <c r="C266" s="3" t="str">
        <f t="shared" si="17"/>
        <v>数理统计（理）</v>
      </c>
      <c r="D266" s="3" t="str">
        <f t="shared" si="16"/>
        <v>大学科基础课</v>
      </c>
      <c r="E266" s="3" t="str">
        <f>"马昀蓓"</f>
        <v>马昀蓓</v>
      </c>
      <c r="F266" s="3" t="str">
        <f>"王样样"</f>
        <v>王样样</v>
      </c>
      <c r="G266" s="3" t="str">
        <f>"221020209023"</f>
        <v>221020209023</v>
      </c>
      <c r="H266" s="4"/>
      <c r="I266" s="5"/>
    </row>
    <row r="267" spans="1:9" ht="34">
      <c r="A267" s="2">
        <v>264</v>
      </c>
      <c r="B267" s="3" t="s">
        <v>22</v>
      </c>
      <c r="C267" s="3" t="str">
        <f t="shared" si="17"/>
        <v>数理统计（理）</v>
      </c>
      <c r="D267" s="3" t="str">
        <f t="shared" si="16"/>
        <v>大学科基础课</v>
      </c>
      <c r="E267" s="3" t="str">
        <f>"戴琳琳"</f>
        <v>戴琳琳</v>
      </c>
      <c r="F267" s="3" t="str">
        <f>"罗茜"</f>
        <v>罗茜</v>
      </c>
      <c r="G267" s="3" t="str">
        <f>"121020104010"</f>
        <v>121020104010</v>
      </c>
      <c r="H267" s="4"/>
      <c r="I267" s="5"/>
    </row>
    <row r="268" spans="1:9" ht="34">
      <c r="A268" s="2">
        <v>265</v>
      </c>
      <c r="B268" s="3" t="s">
        <v>22</v>
      </c>
      <c r="C268" s="3" t="str">
        <f t="shared" si="17"/>
        <v>数理统计（理）</v>
      </c>
      <c r="D268" s="3" t="str">
        <f t="shared" si="16"/>
        <v>大学科基础课</v>
      </c>
      <c r="E268" s="3" t="str">
        <f>"马铁丰"</f>
        <v>马铁丰</v>
      </c>
      <c r="F268" s="3" t="str">
        <f>"雷博"</f>
        <v>雷博</v>
      </c>
      <c r="G268" s="3" t="str">
        <f>"2190202J8010"</f>
        <v>2190202J8010</v>
      </c>
      <c r="H268" s="4"/>
      <c r="I268" s="5"/>
    </row>
    <row r="269" spans="1:9" ht="34">
      <c r="A269" s="2">
        <v>266</v>
      </c>
      <c r="B269" s="3" t="s">
        <v>22</v>
      </c>
      <c r="C269" s="3" t="str">
        <f t="shared" si="17"/>
        <v>数理统计（理）</v>
      </c>
      <c r="D269" s="3" t="str">
        <f t="shared" si="16"/>
        <v>大学科基础课</v>
      </c>
      <c r="E269" s="3" t="str">
        <f>"兰伟"</f>
        <v>兰伟</v>
      </c>
      <c r="F269" s="3" t="str">
        <f>"董满霞"</f>
        <v>董满霞</v>
      </c>
      <c r="G269" s="3" t="str">
        <f>"220071400019"</f>
        <v>220071400019</v>
      </c>
      <c r="H269" s="4"/>
      <c r="I269" s="5"/>
    </row>
    <row r="270" spans="1:9" ht="34">
      <c r="A270" s="2">
        <v>267</v>
      </c>
      <c r="B270" s="3" t="s">
        <v>22</v>
      </c>
      <c r="C270" s="3" t="str">
        <f t="shared" si="17"/>
        <v>数理统计（理）</v>
      </c>
      <c r="D270" s="3" t="str">
        <f t="shared" si="16"/>
        <v>大学科基础课</v>
      </c>
      <c r="E270" s="3" t="str">
        <f>"马昀蓓"</f>
        <v>马昀蓓</v>
      </c>
      <c r="F270" s="3" t="str">
        <f>"李贵珍"</f>
        <v>李贵珍</v>
      </c>
      <c r="G270" s="3" t="str">
        <f>"118020208007"</f>
        <v>118020208007</v>
      </c>
      <c r="H270" s="4"/>
      <c r="I270" s="5"/>
    </row>
    <row r="271" spans="1:9" ht="34">
      <c r="A271" s="2">
        <v>268</v>
      </c>
      <c r="B271" s="3" t="s">
        <v>22</v>
      </c>
      <c r="C271" s="3" t="str">
        <f>"统计学"</f>
        <v>统计学</v>
      </c>
      <c r="D271" s="3" t="str">
        <f t="shared" si="16"/>
        <v>大学科基础课</v>
      </c>
      <c r="E271" s="3" t="str">
        <f>"王青华"</f>
        <v>王青华</v>
      </c>
      <c r="F271" s="3" t="str">
        <f>"李思静"</f>
        <v>李思静</v>
      </c>
      <c r="G271" s="3" t="str">
        <f>"121020204011"</f>
        <v>121020204011</v>
      </c>
      <c r="H271" s="4"/>
      <c r="I271" s="5"/>
    </row>
    <row r="272" spans="1:9" ht="34">
      <c r="A272" s="2">
        <v>269</v>
      </c>
      <c r="B272" s="3" t="s">
        <v>22</v>
      </c>
      <c r="C272" s="3" t="str">
        <f>"统计学"</f>
        <v>统计学</v>
      </c>
      <c r="D272" s="3" t="str">
        <f t="shared" si="16"/>
        <v>大学科基础课</v>
      </c>
      <c r="E272" s="3" t="str">
        <f>"李俭富"</f>
        <v>李俭富</v>
      </c>
      <c r="F272" s="3" t="str">
        <f>"潘静珍"</f>
        <v>潘静珍</v>
      </c>
      <c r="G272" s="3" t="str">
        <f>"121020204029"</f>
        <v>121020204029</v>
      </c>
      <c r="H272" s="4"/>
      <c r="I272" s="5"/>
    </row>
    <row r="273" spans="1:9" ht="34">
      <c r="A273" s="2">
        <v>270</v>
      </c>
      <c r="B273" s="3" t="s">
        <v>22</v>
      </c>
      <c r="C273" s="3" t="str">
        <f>"统计学MOOC"</f>
        <v>统计学MOOC</v>
      </c>
      <c r="D273" s="3" t="str">
        <f>"慕课"</f>
        <v>慕课</v>
      </c>
      <c r="E273" s="3" t="str">
        <f>"夏怡凡"</f>
        <v>夏怡凡</v>
      </c>
      <c r="F273" s="3" t="str">
        <f>"胡丽"</f>
        <v>胡丽</v>
      </c>
      <c r="G273" s="3" t="str">
        <f>"220020208008"</f>
        <v>220020208008</v>
      </c>
      <c r="H273" s="4"/>
      <c r="I273" s="5"/>
    </row>
    <row r="274" spans="1:9" ht="34">
      <c r="A274" s="2">
        <v>271</v>
      </c>
      <c r="B274" s="3" t="s">
        <v>22</v>
      </c>
      <c r="C274" s="3" t="str">
        <f>"数理统计（理）"</f>
        <v>数理统计（理）</v>
      </c>
      <c r="D274" s="3" t="str">
        <f>"专业必修课"</f>
        <v>专业必修课</v>
      </c>
      <c r="E274" s="3" t="str">
        <f>"张术林"</f>
        <v>张术林</v>
      </c>
      <c r="F274" s="3" t="str">
        <f>"任嘉颖"</f>
        <v>任嘉颖</v>
      </c>
      <c r="G274" s="3" t="str">
        <f>"221071400006"</f>
        <v>221071400006</v>
      </c>
      <c r="H274" s="4"/>
      <c r="I274" s="5"/>
    </row>
    <row r="275" spans="1:9" ht="34">
      <c r="A275" s="2">
        <v>272</v>
      </c>
      <c r="B275" s="3" t="s">
        <v>22</v>
      </c>
      <c r="C275" s="3" t="str">
        <f>"计量经济学"</f>
        <v>计量经济学</v>
      </c>
      <c r="D275" s="3" t="str">
        <f>"专业方向课"</f>
        <v>专业方向课</v>
      </c>
      <c r="E275" s="3" t="str">
        <f>"于博"</f>
        <v>于博</v>
      </c>
      <c r="F275" s="3" t="str">
        <f>"叶徐涛"</f>
        <v>叶徐涛</v>
      </c>
      <c r="G275" s="3" t="str">
        <f>"2220202Z2007"</f>
        <v>2220202Z2007</v>
      </c>
      <c r="H275" s="4"/>
      <c r="I275" s="5"/>
    </row>
    <row r="276" spans="1:9" ht="34">
      <c r="A276" s="2">
        <v>273</v>
      </c>
      <c r="B276" s="3" t="s">
        <v>22</v>
      </c>
      <c r="C276" s="3" t="str">
        <f>"统计学"</f>
        <v>统计学</v>
      </c>
      <c r="D276" s="3" t="str">
        <f>"大学科基础课"</f>
        <v>大学科基础课</v>
      </c>
      <c r="E276" s="3" t="str">
        <f>"王青华"</f>
        <v>王青华</v>
      </c>
      <c r="F276" s="3" t="str">
        <f>"石瑶"</f>
        <v>石瑶</v>
      </c>
      <c r="G276" s="3" t="str">
        <f>"121020209001"</f>
        <v>121020209001</v>
      </c>
      <c r="H276" s="4"/>
      <c r="I276" s="5"/>
    </row>
    <row r="277" spans="1:9" ht="34">
      <c r="A277" s="2">
        <v>274</v>
      </c>
      <c r="B277" s="3" t="s">
        <v>22</v>
      </c>
      <c r="C277" s="3" t="str">
        <f>"数理统计（理）"</f>
        <v>数理统计（理）</v>
      </c>
      <c r="D277" s="3" t="str">
        <f>"大学科基础课"</f>
        <v>大学科基础课</v>
      </c>
      <c r="E277" s="3" t="str">
        <f>"吴量"</f>
        <v>吴量</v>
      </c>
      <c r="F277" s="3" t="str">
        <f>"张晨琳"</f>
        <v>张晨琳</v>
      </c>
      <c r="G277" s="3" t="str">
        <f>"120071400004"</f>
        <v>120071400004</v>
      </c>
      <c r="H277" s="4"/>
      <c r="I277" s="5"/>
    </row>
    <row r="278" spans="1:9" ht="34">
      <c r="A278" s="2">
        <v>275</v>
      </c>
      <c r="B278" s="3" t="s">
        <v>22</v>
      </c>
      <c r="C278" s="3" t="str">
        <f>"统计学"</f>
        <v>统计学</v>
      </c>
      <c r="D278" s="3" t="str">
        <f>"大学科基础课"</f>
        <v>大学科基础课</v>
      </c>
      <c r="E278" s="3" t="str">
        <f>"何雅兴"</f>
        <v>何雅兴</v>
      </c>
      <c r="F278" s="3" t="str">
        <f>"陈新月"</f>
        <v>陈新月</v>
      </c>
      <c r="G278" s="3" t="str">
        <f>"120020209002"</f>
        <v>120020209002</v>
      </c>
      <c r="H278" s="4"/>
      <c r="I278" s="5"/>
    </row>
    <row r="279" spans="1:9" ht="34">
      <c r="A279" s="2">
        <v>276</v>
      </c>
      <c r="B279" s="3" t="s">
        <v>22</v>
      </c>
      <c r="C279" s="3" t="str">
        <f>"实变函数与泛函分析"</f>
        <v>实变函数与泛函分析</v>
      </c>
      <c r="D279" s="3" t="str">
        <f>"专业必修课"</f>
        <v>专业必修课</v>
      </c>
      <c r="E279" s="3" t="str">
        <f>"张佛德"</f>
        <v>张佛德</v>
      </c>
      <c r="F279" s="3" t="str">
        <f>"古杰"</f>
        <v>古杰</v>
      </c>
      <c r="G279" s="3" t="str">
        <f>"221071400008"</f>
        <v>221071400008</v>
      </c>
      <c r="H279" s="4"/>
      <c r="I279" s="5"/>
    </row>
    <row r="280" spans="1:9" ht="34">
      <c r="A280" s="2">
        <v>277</v>
      </c>
      <c r="B280" s="3" t="s">
        <v>22</v>
      </c>
      <c r="C280" s="3" t="str">
        <f>"程序设计与科学计算"</f>
        <v>程序设计与科学计算</v>
      </c>
      <c r="D280" s="3" t="str">
        <f>"大学科基础课"</f>
        <v>大学科基础课</v>
      </c>
      <c r="E280" s="3" t="str">
        <f>"李可"</f>
        <v>李可</v>
      </c>
      <c r="F280" s="3" t="str">
        <f>"徐琳"</f>
        <v>徐琳</v>
      </c>
      <c r="G280" s="3" t="str">
        <f>"1220202J8002"</f>
        <v>1220202J8002</v>
      </c>
      <c r="H280" s="4"/>
      <c r="I280" s="5"/>
    </row>
    <row r="281" spans="1:9" ht="34">
      <c r="A281" s="2">
        <v>278</v>
      </c>
      <c r="B281" s="3" t="s">
        <v>22</v>
      </c>
      <c r="C281" s="3" t="str">
        <f>"统计学"</f>
        <v>统计学</v>
      </c>
      <c r="D281" s="3" t="str">
        <f>"大学科基础课"</f>
        <v>大学科基础课</v>
      </c>
      <c r="E281" s="3" t="str">
        <f>"李俭富"</f>
        <v>李俭富</v>
      </c>
      <c r="F281" s="3" t="str">
        <f>"苏思宇"</f>
        <v>苏思宇</v>
      </c>
      <c r="G281" s="3" t="str">
        <f>"2220202Z2024"</f>
        <v>2220202Z2024</v>
      </c>
      <c r="H281" s="4"/>
      <c r="I281" s="5"/>
    </row>
    <row r="282" spans="1:9" ht="34">
      <c r="A282" s="2">
        <v>279</v>
      </c>
      <c r="B282" s="3" t="s">
        <v>22</v>
      </c>
      <c r="C282" s="3" t="str">
        <f>"数理统计原理"</f>
        <v>数理统计原理</v>
      </c>
      <c r="D282" s="3" t="str">
        <f>"大学科基础课"</f>
        <v>大学科基础课</v>
      </c>
      <c r="E282" s="3" t="str">
        <f>"何婧"</f>
        <v>何婧</v>
      </c>
      <c r="F282" s="3" t="str">
        <f>"杜悦"</f>
        <v>杜悦</v>
      </c>
      <c r="G282" s="3" t="str">
        <f>"122071400004"</f>
        <v>122071400004</v>
      </c>
      <c r="H282" s="4"/>
      <c r="I282" s="5"/>
    </row>
    <row r="283" spans="1:9" ht="34">
      <c r="A283" s="2">
        <v>280</v>
      </c>
      <c r="B283" s="3" t="s">
        <v>23</v>
      </c>
      <c r="C283" s="3" t="str">
        <f>"商务英语-案例篇MOOC"</f>
        <v>商务英语-案例篇MOOC</v>
      </c>
      <c r="D283" s="3" t="str">
        <f>"慕课"</f>
        <v>慕课</v>
      </c>
      <c r="E283" s="3" t="str">
        <f>"谢娟"</f>
        <v>谢娟</v>
      </c>
      <c r="F283" s="3" t="str">
        <f>"杨尚林"</f>
        <v>杨尚林</v>
      </c>
      <c r="G283" s="3" t="str">
        <f>"2200502Z1013"</f>
        <v>2200502Z1013</v>
      </c>
      <c r="H283" s="4"/>
      <c r="I283" s="5"/>
    </row>
  </sheetData>
  <mergeCells count="2">
    <mergeCell ref="A1:I1"/>
    <mergeCell ref="A2:I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2023-03-21T07:30:53Z</dcterms:created>
  <dcterms:modified xsi:type="dcterms:W3CDTF">2023-03-21T07:32:03Z</dcterms:modified>
</cp:coreProperties>
</file>