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360" windowHeight="13500"/>
  </bookViews>
  <sheets>
    <sheet name="myexcel (6)" sheetId="1" r:id="rId1"/>
  </sheets>
  <definedNames>
    <definedName name="_xlnm._FilterDatabase" localSheetId="0" hidden="1">'myexcel (6)'!$A$2:$K$367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<sst xmlns="http://schemas.openxmlformats.org/spreadsheetml/2006/main" count="12" uniqueCount="12">
  <si>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附件1-2024-2025-1学期本科课程教学助理名单</t>
  </si>
  <si>
    <t>编号</t>
  </si>
  <si>
    <t>学号</t>
  </si>
  <si>
    <t>姓名</t>
  </si>
  <si>
    <t>性别</t>
  </si>
  <si>
    <t>专业</t>
  </si>
  <si>
    <t>所在级</t>
  </si>
  <si>
    <t>课程名称</t>
  </si>
  <si>
    <t>课程类型</t>
  </si>
  <si>
    <t>开课时间</t>
  </si>
  <si>
    <t>开课学院</t>
  </si>
  <si>
    <t>老师姓名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</si>
</sst>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0"/>
      <color theme="1"/>
      <name val="Arial Unicode MS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67"/>
  <sheetViews>
    <sheetView showGridLines="0" tabSelected="1" zoomScaleSheetLayoutView="60" workbookViewId="0">
      <selection activeCell="C11" sqref="C11"/>
    </sheetView>
  </sheetViews>
  <sheetFormatPr defaultColWidth="8.88888888888889" defaultRowHeight="14.4"/>
  <cols>
    <col min="1" max="1" width="4.77777777777778" style="1" customWidth="1"/>
    <col min="2" max="2" width="14.7777777777778" style="2" customWidth="1"/>
    <col min="3" max="3" width="7.88888888888889" style="2" customWidth="1"/>
    <col min="4" max="4" width="4.55555555555556" style="2" customWidth="1"/>
    <col min="5" max="5" width="12.2222222222222" style="2" customWidth="1"/>
    <col min="6" max="6" width="6.44444444444444" style="2" customWidth="1"/>
    <col min="7" max="7" width="15.6666666666667" style="2" customWidth="1"/>
    <col min="8" max="8" width="8.33333333333333" style="2" customWidth="1"/>
    <col min="9" max="9" width="17.1111111111111" style="2" customWidth="1"/>
    <col min="10" max="10" width="16" style="2" customWidth="1"/>
    <col min="11" max="11" width="8.33333333333333" style="2" customWidth="1"/>
    <col min="12" max="16384" width="8.88888888888889" style="2"/>
  </cols>
  <sheetData>
    <row r="1" ht="22.2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pans="1:11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</row>
    <row r="3" ht="24" spans="1:11">
      <c r="A3" s="6">
        <v>1</v>
      </c>
      <c r="B3" s="5" t="str">
        <f>"2220202Z6004"</f>
        <v>2220202Z6004</v>
      </c>
      <c r="C3" s="5" t="str">
        <f>"刘温怡"</f>
        <v>刘温怡</v>
      </c>
      <c r="D3" s="5" t="str">
        <f>"女"</f>
        <v>女</v>
      </c>
      <c r="E3" s="5" t="str">
        <f>"税收学"</f>
        <v>税收学</v>
      </c>
      <c r="F3" s="5" t="str">
        <f>"2022"</f>
        <v>2022</v>
      </c>
      <c r="G3" s="5" t="str">
        <f>"国家税收MOOC"</f>
        <v>国家税收MOOC</v>
      </c>
      <c r="H3" s="5" t="str">
        <f>"慕课"</f>
        <v>慕课</v>
      </c>
      <c r="I3" s="5" t="str">
        <f>"2024年9-12月"</f>
        <v>2024年9-12月</v>
      </c>
      <c r="J3" s="5" t="str">
        <f>"财政税务学院"</f>
        <v>财政税务学院</v>
      </c>
      <c r="K3" s="5" t="str">
        <f>"郝晓薇"</f>
        <v>郝晓薇</v>
      </c>
    </row>
    <row r="4" ht="24" spans="1:11">
      <c r="A4" s="6">
        <v>2</v>
      </c>
      <c r="B4" s="5" t="str">
        <f>"121020203007"</f>
        <v>121020203007</v>
      </c>
      <c r="C4" s="5" t="str">
        <f>"吴近平"</f>
        <v>吴近平</v>
      </c>
      <c r="D4" s="5" t="str">
        <f>"男"</f>
        <v>男</v>
      </c>
      <c r="E4" s="5" t="str">
        <f>"财政学"</f>
        <v>财政学</v>
      </c>
      <c r="F4" s="5" t="str">
        <f>"2021"</f>
        <v>2021</v>
      </c>
      <c r="G4" s="5" t="str">
        <f>"政府会计学MOOC"</f>
        <v>政府会计学MOOC</v>
      </c>
      <c r="H4" s="5" t="str">
        <f>"慕课"</f>
        <v>慕课</v>
      </c>
      <c r="I4" s="5" t="str">
        <f>"2024年9-12月"</f>
        <v>2024年9-12月</v>
      </c>
      <c r="J4" s="5" t="str">
        <f>"财政税务学院"</f>
        <v>财政税务学院</v>
      </c>
      <c r="K4" s="5" t="str">
        <f>"周克清"</f>
        <v>周克清</v>
      </c>
    </row>
    <row r="5" ht="24" spans="1:11">
      <c r="A5" s="6">
        <v>3</v>
      </c>
      <c r="B5" s="5" t="str">
        <f>"1230202Z6002"</f>
        <v>1230202Z6002</v>
      </c>
      <c r="C5" s="5" t="str">
        <f>"王鸿梓"</f>
        <v>王鸿梓</v>
      </c>
      <c r="D5" s="5" t="str">
        <f>"女"</f>
        <v>女</v>
      </c>
      <c r="E5" s="5" t="str">
        <f>"税收学"</f>
        <v>税收学</v>
      </c>
      <c r="F5" s="5" t="str">
        <f>"2023"</f>
        <v>2023</v>
      </c>
      <c r="G5" s="5" t="str">
        <f>"税收筹划MOOC"</f>
        <v>税收筹划MOOC</v>
      </c>
      <c r="H5" s="5" t="str">
        <f>"慕课"</f>
        <v>慕课</v>
      </c>
      <c r="I5" s="5" t="str">
        <f>"2024年9-12月"</f>
        <v>2024年9-12月</v>
      </c>
      <c r="J5" s="5" t="str">
        <f>"财政税务学院"</f>
        <v>财政税务学院</v>
      </c>
      <c r="K5" s="5" t="str">
        <f>"刘蓉"</f>
        <v>刘蓉</v>
      </c>
    </row>
    <row r="6" ht="24" spans="1:11">
      <c r="A6" s="6">
        <v>4</v>
      </c>
      <c r="B6" s="5" t="str">
        <f>"123020203007"</f>
        <v>123020203007</v>
      </c>
      <c r="C6" s="5" t="str">
        <f>"曹明碧"</f>
        <v>曹明碧</v>
      </c>
      <c r="D6" s="5" t="str">
        <f>"女"</f>
        <v>女</v>
      </c>
      <c r="E6" s="5" t="str">
        <f>"财政学"</f>
        <v>财政学</v>
      </c>
      <c r="F6" s="5" t="str">
        <f>"2023"</f>
        <v>2023</v>
      </c>
      <c r="G6" s="5" t="str">
        <f>"税法MOOC"</f>
        <v>税法MOOC</v>
      </c>
      <c r="H6" s="5" t="str">
        <f>"慕课"</f>
        <v>慕课</v>
      </c>
      <c r="I6" s="5" t="str">
        <f>"2024年9-12月"</f>
        <v>2024年9-12月</v>
      </c>
      <c r="J6" s="5" t="str">
        <f>"财政税务学院"</f>
        <v>财政税务学院</v>
      </c>
      <c r="K6" s="5" t="str">
        <f>"吕敏"</f>
        <v>吕敏</v>
      </c>
    </row>
    <row r="7" ht="24" spans="1:11">
      <c r="A7" s="6">
        <v>5</v>
      </c>
      <c r="B7" s="5" t="str">
        <f>"123020203003"</f>
        <v>123020203003</v>
      </c>
      <c r="C7" s="5" t="str">
        <f>"陈凤锦"</f>
        <v>陈凤锦</v>
      </c>
      <c r="D7" s="5" t="str">
        <f>"女"</f>
        <v>女</v>
      </c>
      <c r="E7" s="5" t="str">
        <f>"财政学"</f>
        <v>财政学</v>
      </c>
      <c r="F7" s="5" t="str">
        <f>"2023"</f>
        <v>2023</v>
      </c>
      <c r="G7" s="5" t="str">
        <f>"财政学MOOC"</f>
        <v>财政学MOOC</v>
      </c>
      <c r="H7" s="5" t="str">
        <f>"慕课"</f>
        <v>慕课</v>
      </c>
      <c r="I7" s="5" t="str">
        <f>"2024年9-12月"</f>
        <v>2024年9-12月</v>
      </c>
      <c r="J7" s="5" t="str">
        <f>"财政税务学院"</f>
        <v>财政税务学院</v>
      </c>
      <c r="K7" s="5" t="str">
        <f>"周克清"</f>
        <v>周克清</v>
      </c>
    </row>
    <row r="8" ht="48" spans="1:11">
      <c r="A8" s="6">
        <v>6</v>
      </c>
      <c r="B8" s="5" t="str">
        <f>"121020205003"</f>
        <v>121020205003</v>
      </c>
      <c r="C8" s="5" t="str">
        <f>"于泱泱"</f>
        <v>于泱泱</v>
      </c>
      <c r="D8" s="5" t="str">
        <f>"男"</f>
        <v>男</v>
      </c>
      <c r="E8" s="5" t="str">
        <f>"产业经济学"</f>
        <v>产业经济学</v>
      </c>
      <c r="F8" s="5" t="str">
        <f>"2021"</f>
        <v>2021</v>
      </c>
      <c r="G8" s="5" t="str">
        <f>"宏观经济学"</f>
        <v>宏观经济学</v>
      </c>
      <c r="H8" s="5" t="str">
        <f>"大学科基础课"</f>
        <v>大学科基础课</v>
      </c>
      <c r="I8" s="5" t="str">
        <f>"周一第10，11，12节{第1-17周}"</f>
        <v>周一第10，11，12节{第1-17周}</v>
      </c>
      <c r="J8" s="5" t="str">
        <f>"工商管理学院"</f>
        <v>工商管理学院</v>
      </c>
      <c r="K8" s="5" t="str">
        <f>"邱奕宾"</f>
        <v>邱奕宾</v>
      </c>
    </row>
    <row r="9" ht="36" spans="1:11">
      <c r="A9" s="6">
        <v>7</v>
      </c>
      <c r="B9" s="5" t="str">
        <f>"222020205008"</f>
        <v>222020205008</v>
      </c>
      <c r="C9" s="5" t="str">
        <f>"黄婷"</f>
        <v>黄婷</v>
      </c>
      <c r="D9" s="5" t="str">
        <f>"女"</f>
        <v>女</v>
      </c>
      <c r="E9" s="5" t="str">
        <f>"产业经济学"</f>
        <v>产业经济学</v>
      </c>
      <c r="F9" s="5" t="str">
        <f>"2022"</f>
        <v>2022</v>
      </c>
      <c r="G9" s="5" t="str">
        <f>"产业理论与行业分析MOOC"</f>
        <v>产业理论与行业分析MOOC</v>
      </c>
      <c r="H9" s="5" t="str">
        <f>"慕课"</f>
        <v>慕课</v>
      </c>
      <c r="I9" s="5" t="str">
        <f>"2024年9-12月"</f>
        <v>2024年9-12月</v>
      </c>
      <c r="J9" s="5" t="str">
        <f>"工商管理学院"</f>
        <v>工商管理学院</v>
      </c>
      <c r="K9" s="5" t="str">
        <f>"杜蕾"</f>
        <v>杜蕾</v>
      </c>
    </row>
    <row r="10" ht="48" spans="1:11">
      <c r="A10" s="6">
        <v>8</v>
      </c>
      <c r="B10" s="5" t="str">
        <f>"123120203001"</f>
        <v>123120203001</v>
      </c>
      <c r="C10" s="5" t="str">
        <f>"覃凯璇"</f>
        <v>覃凯璇</v>
      </c>
      <c r="D10" s="5" t="str">
        <f>"女"</f>
        <v>女</v>
      </c>
      <c r="E10" s="5" t="str">
        <f>"旅游管理"</f>
        <v>旅游管理</v>
      </c>
      <c r="F10" s="5" t="str">
        <f>"2023"</f>
        <v>2023</v>
      </c>
      <c r="G10" s="5" t="str">
        <f>"管理学原理"</f>
        <v>管理学原理</v>
      </c>
      <c r="H10" s="5" t="str">
        <f>"大学科基础课"</f>
        <v>大学科基础课</v>
      </c>
      <c r="I10" s="5" t="str">
        <f>"周一第10，11，12节{第1-17周}"</f>
        <v>周一第10，11，12节{第1-17周}</v>
      </c>
      <c r="J10" s="5" t="str">
        <f>"工商管理学院"</f>
        <v>工商管理学院</v>
      </c>
      <c r="K10" s="5" t="str">
        <f>"温俊杰"</f>
        <v>温俊杰</v>
      </c>
    </row>
    <row r="11" ht="84" spans="1:11">
      <c r="A11" s="6">
        <v>9</v>
      </c>
      <c r="B11" s="5" t="str">
        <f>"2231201Z5025"</f>
        <v>2231201Z5025</v>
      </c>
      <c r="C11" s="5" t="str">
        <f>"杨泽宇"</f>
        <v>杨泽宇</v>
      </c>
      <c r="D11" s="5" t="str">
        <f>"男"</f>
        <v>男</v>
      </c>
      <c r="E11" s="5" t="str">
        <f>"大数据管理"</f>
        <v>大数据管理</v>
      </c>
      <c r="F11" s="5" t="str">
        <f>"2023"</f>
        <v>2023</v>
      </c>
      <c r="G11" s="5" t="str">
        <f>"统计学"</f>
        <v>统计学</v>
      </c>
      <c r="H11" s="5" t="str">
        <f>"大学科基础课"</f>
        <v>大学科基础课</v>
      </c>
      <c r="I11" s="5" t="str">
        <f>"周四第1，2节{第1-17周}，周四第3节{第1-17周}"</f>
        <v>周四第1，2节{第1-17周}，周四第3节{第1-17周}</v>
      </c>
      <c r="J11" s="5" t="str">
        <f>"工商管理学院"</f>
        <v>工商管理学院</v>
      </c>
      <c r="K11" s="5" t="str">
        <f>"赵奕奕"</f>
        <v>赵奕奕</v>
      </c>
    </row>
    <row r="12" ht="84" spans="1:11">
      <c r="A12" s="6">
        <v>10</v>
      </c>
      <c r="B12" s="5" t="str">
        <f>"223020205007"</f>
        <v>223020205007</v>
      </c>
      <c r="C12" s="5" t="str">
        <f>"孔维康"</f>
        <v>孔维康</v>
      </c>
      <c r="D12" s="5" t="str">
        <f>"男"</f>
        <v>男</v>
      </c>
      <c r="E12" s="5" t="str">
        <f>"产业经济学"</f>
        <v>产业经济学</v>
      </c>
      <c r="F12" s="5" t="str">
        <f>"2023"</f>
        <v>2023</v>
      </c>
      <c r="G12" s="5" t="str">
        <f>"宏观经济学"</f>
        <v>宏观经济学</v>
      </c>
      <c r="H12" s="5" t="str">
        <f>"大学科基础课"</f>
        <v>大学科基础课</v>
      </c>
      <c r="I12" s="5" t="str">
        <f>"周五第5，6节{第1-17周}，周五第7节{第1-17周}"</f>
        <v>周五第5，6节{第1-17周}，周五第7节{第1-17周}</v>
      </c>
      <c r="J12" s="5" t="str">
        <f>"工商管理学院"</f>
        <v>工商管理学院</v>
      </c>
      <c r="K12" s="5" t="str">
        <f>"胡云一"</f>
        <v>胡云一</v>
      </c>
    </row>
    <row r="13" ht="24" spans="1:11">
      <c r="A13" s="6">
        <v>11</v>
      </c>
      <c r="B13" s="5" t="str">
        <f>"222120202012"</f>
        <v>222120202012</v>
      </c>
      <c r="C13" s="5" t="str">
        <f>"刘盈伶"</f>
        <v>刘盈伶</v>
      </c>
      <c r="D13" s="5" t="str">
        <f>"女"</f>
        <v>女</v>
      </c>
      <c r="E13" s="5" t="str">
        <f>"企业管理"</f>
        <v>企业管理</v>
      </c>
      <c r="F13" s="5" t="str">
        <f>"2022"</f>
        <v>2022</v>
      </c>
      <c r="G13" s="5" t="str">
        <f>"管理信息系统"</f>
        <v>管理信息系统</v>
      </c>
      <c r="H13" s="5" t="str">
        <f>"慕课"</f>
        <v>慕课</v>
      </c>
      <c r="I13" s="5" t="str">
        <f>"2024年9-12月"</f>
        <v>2024年9-12月</v>
      </c>
      <c r="J13" s="5" t="str">
        <f>"工商管理学院"</f>
        <v>工商管理学院</v>
      </c>
      <c r="K13" s="5" t="str">
        <f>"王祎"</f>
        <v>王祎</v>
      </c>
    </row>
    <row r="14" ht="48" spans="1:11">
      <c r="A14" s="6">
        <v>12</v>
      </c>
      <c r="B14" s="5" t="str">
        <f>"223120100033"</f>
        <v>223120100033</v>
      </c>
      <c r="C14" s="5" t="str">
        <f>"钟清华"</f>
        <v>钟清华</v>
      </c>
      <c r="D14" s="5" t="str">
        <f>"女"</f>
        <v>女</v>
      </c>
      <c r="E14" s="5" t="str">
        <f>"管理科学与工程"</f>
        <v>管理科学与工程</v>
      </c>
      <c r="F14" s="5" t="str">
        <f>"2023"</f>
        <v>2023</v>
      </c>
      <c r="G14" s="5" t="str">
        <f>"管理学原理"</f>
        <v>管理学原理</v>
      </c>
      <c r="H14" s="5" t="str">
        <f>"大学科基础课"</f>
        <v>大学科基础课</v>
      </c>
      <c r="I14" s="5" t="str">
        <f>"周一第10，11，12节{第1-17周}"</f>
        <v>周一第10，11，12节{第1-17周}</v>
      </c>
      <c r="J14" s="5" t="str">
        <f>"工商管理学院"</f>
        <v>工商管理学院</v>
      </c>
      <c r="K14" s="5" t="str">
        <f>"高歌"</f>
        <v>高歌</v>
      </c>
    </row>
    <row r="15" ht="84" spans="1:11">
      <c r="A15" s="6">
        <v>13</v>
      </c>
      <c r="B15" s="5" t="str">
        <f>"2231201Z5037"</f>
        <v>2231201Z5037</v>
      </c>
      <c r="C15" s="5" t="str">
        <f>"王俏"</f>
        <v>王俏</v>
      </c>
      <c r="D15" s="5" t="str">
        <f>"女"</f>
        <v>女</v>
      </c>
      <c r="E15" s="5" t="str">
        <f>"大数据管理"</f>
        <v>大数据管理</v>
      </c>
      <c r="F15" s="5" t="str">
        <f>"2023"</f>
        <v>2023</v>
      </c>
      <c r="G15" s="5" t="str">
        <f>"统计学"</f>
        <v>统计学</v>
      </c>
      <c r="H15" s="5" t="str">
        <f>"大学科基础课"</f>
        <v>大学科基础课</v>
      </c>
      <c r="I15" s="5" t="str">
        <f>"周三第1，2节{第1-17周}，周三第3节{第1-17周}"</f>
        <v>周三第1，2节{第1-17周}，周三第3节{第1-17周}</v>
      </c>
      <c r="J15" s="5" t="str">
        <f>"工商管理学院"</f>
        <v>工商管理学院</v>
      </c>
      <c r="K15" s="5" t="str">
        <f>"徐敏"</f>
        <v>徐敏</v>
      </c>
    </row>
    <row r="16" ht="36" spans="1:11">
      <c r="A16" s="6">
        <v>14</v>
      </c>
      <c r="B16" s="5" t="str">
        <f>"1221202Z9001"</f>
        <v>1221202Z9001</v>
      </c>
      <c r="C16" s="5" t="str">
        <f>"徐娟年"</f>
        <v>徐娟年</v>
      </c>
      <c r="D16" s="5" t="str">
        <f>"女"</f>
        <v>女</v>
      </c>
      <c r="E16" s="5" t="str">
        <f>"物流与供应链管理"</f>
        <v>物流与供应链管理</v>
      </c>
      <c r="F16" s="5" t="str">
        <f>"2022"</f>
        <v>2022</v>
      </c>
      <c r="G16" s="5" t="str">
        <f>"互联网+服务系统设计MOOC"</f>
        <v>互联网+服务系统设计MOOC</v>
      </c>
      <c r="H16" s="5" t="str">
        <f>"慕课"</f>
        <v>慕课</v>
      </c>
      <c r="I16" s="5" t="str">
        <f>"2024年9-12月"</f>
        <v>2024年9-12月</v>
      </c>
      <c r="J16" s="5" t="str">
        <f>"工商管理学院"</f>
        <v>工商管理学院</v>
      </c>
      <c r="K16" s="5" t="str">
        <f>"张汉鹏"</f>
        <v>张汉鹏</v>
      </c>
    </row>
    <row r="17" ht="48" spans="1:11">
      <c r="A17" s="6">
        <v>15</v>
      </c>
      <c r="B17" s="5" t="str">
        <f>"223020205003"</f>
        <v>223020205003</v>
      </c>
      <c r="C17" s="5" t="str">
        <f>"王景榕"</f>
        <v>王景榕</v>
      </c>
      <c r="D17" s="5" t="str">
        <f>"男"</f>
        <v>男</v>
      </c>
      <c r="E17" s="5" t="str">
        <f>"产业经济学"</f>
        <v>产业经济学</v>
      </c>
      <c r="F17" s="5" t="str">
        <f>"2023"</f>
        <v>2023</v>
      </c>
      <c r="G17" s="5" t="str">
        <f>"宏观经济学"</f>
        <v>宏观经济学</v>
      </c>
      <c r="H17" s="5" t="str">
        <f>"大学科基础课"</f>
        <v>大学科基础课</v>
      </c>
      <c r="I17" s="5" t="str">
        <f>"周三第10，11，12节{第1-17周}"</f>
        <v>周三第10，11，12节{第1-17周}</v>
      </c>
      <c r="J17" s="5" t="str">
        <f>"工商管理学院"</f>
        <v>工商管理学院</v>
      </c>
      <c r="K17" s="5" t="str">
        <f>"侯哲之"</f>
        <v>侯哲之</v>
      </c>
    </row>
    <row r="18" ht="84" spans="1:11">
      <c r="A18" s="6">
        <v>16</v>
      </c>
      <c r="B18" s="5" t="str">
        <f>"2221201Z5026"</f>
        <v>2221201Z5026</v>
      </c>
      <c r="C18" s="5" t="str">
        <f>"毛海霞"</f>
        <v>毛海霞</v>
      </c>
      <c r="D18" s="5" t="str">
        <f>"女"</f>
        <v>女</v>
      </c>
      <c r="E18" s="5" t="str">
        <f>"大数据管理"</f>
        <v>大数据管理</v>
      </c>
      <c r="F18" s="5" t="str">
        <f>"2022"</f>
        <v>2022</v>
      </c>
      <c r="G18" s="5" t="str">
        <f>"统计学"</f>
        <v>统计学</v>
      </c>
      <c r="H18" s="5" t="str">
        <f>"大学科基础课"</f>
        <v>大学科基础课</v>
      </c>
      <c r="I18" s="5" t="str">
        <f>"周四第5，6节{第1-17周}，周四第7节{第1-17周}"</f>
        <v>周四第5，6节{第1-17周}，周四第7节{第1-17周}</v>
      </c>
      <c r="J18" s="5" t="str">
        <f>"工商管理学院"</f>
        <v>工商管理学院</v>
      </c>
      <c r="K18" s="5" t="str">
        <f>"赵奕奕"</f>
        <v>赵奕奕</v>
      </c>
    </row>
    <row r="19" ht="84" spans="1:11">
      <c r="A19" s="6">
        <v>17</v>
      </c>
      <c r="B19" s="5" t="str">
        <f>"223120202045"</f>
        <v>223120202045</v>
      </c>
      <c r="C19" s="5" t="str">
        <f>"兰畅"</f>
        <v>兰畅</v>
      </c>
      <c r="D19" s="5" t="str">
        <f>"女"</f>
        <v>女</v>
      </c>
      <c r="E19" s="5" t="str">
        <f>"企业管理"</f>
        <v>企业管理</v>
      </c>
      <c r="F19" s="5" t="str">
        <f>"2023"</f>
        <v>2023</v>
      </c>
      <c r="G19" s="5" t="str">
        <f>"管理学原理"</f>
        <v>管理学原理</v>
      </c>
      <c r="H19" s="5" t="str">
        <f>"学科基础课"</f>
        <v>学科基础课</v>
      </c>
      <c r="I19" s="5" t="str">
        <f>"周四第5，6节{第1-17周}，周四第7节{第1-17周}"</f>
        <v>周四第5，6节{第1-17周}，周四第7节{第1-17周}</v>
      </c>
      <c r="J19" s="5" t="str">
        <f>"工商管理学院"</f>
        <v>工商管理学院</v>
      </c>
      <c r="K19" s="5" t="str">
        <f>"付嵘"</f>
        <v>付嵘</v>
      </c>
    </row>
    <row r="20" ht="84" spans="1:11">
      <c r="A20" s="6">
        <v>18</v>
      </c>
      <c r="B20" s="5" t="str">
        <f>"222020205003"</f>
        <v>222020205003</v>
      </c>
      <c r="C20" s="5" t="str">
        <f>"王东艳"</f>
        <v>王东艳</v>
      </c>
      <c r="D20" s="5" t="str">
        <f>"女"</f>
        <v>女</v>
      </c>
      <c r="E20" s="5" t="str">
        <f>"产业经济学"</f>
        <v>产业经济学</v>
      </c>
      <c r="F20" s="5" t="str">
        <f>"2022"</f>
        <v>2022</v>
      </c>
      <c r="G20" s="5" t="str">
        <f>"宏观经济学"</f>
        <v>宏观经济学</v>
      </c>
      <c r="H20" s="5" t="str">
        <f>"大学科基础课"</f>
        <v>大学科基础课</v>
      </c>
      <c r="I20" s="5" t="str">
        <f>"周四第1，2节{第1-17周}，周四第3节{第1-17周}"</f>
        <v>周四第1，2节{第1-17周}，周四第3节{第1-17周}</v>
      </c>
      <c r="J20" s="5" t="str">
        <f>"工商管理学院"</f>
        <v>工商管理学院</v>
      </c>
      <c r="K20" s="5" t="str">
        <f>"胡云一"</f>
        <v>胡云一</v>
      </c>
    </row>
    <row r="21" ht="48" spans="1:11">
      <c r="A21" s="6">
        <v>19</v>
      </c>
      <c r="B21" s="5" t="str">
        <f>"222120202021"</f>
        <v>222120202021</v>
      </c>
      <c r="C21" s="5" t="str">
        <f>"李晓天"</f>
        <v>李晓天</v>
      </c>
      <c r="D21" s="5" t="str">
        <f>"男"</f>
        <v>男</v>
      </c>
      <c r="E21" s="5" t="str">
        <f>"企业管理"</f>
        <v>企业管理</v>
      </c>
      <c r="F21" s="5" t="str">
        <f>"2022"</f>
        <v>2022</v>
      </c>
      <c r="G21" s="5" t="str">
        <f>"管理学原理（英）"</f>
        <v>管理学原理（英）</v>
      </c>
      <c r="H21" s="5" t="str">
        <f>"学科基础课"</f>
        <v>学科基础课</v>
      </c>
      <c r="I21" s="5" t="str">
        <f>"周二第10，11，12节{第1-17周}"</f>
        <v>周二第10，11，12节{第1-17周}</v>
      </c>
      <c r="J21" s="5" t="str">
        <f>"工商管理学院"</f>
        <v>工商管理学院</v>
      </c>
      <c r="K21" s="5" t="str">
        <f>"陈桓亘"</f>
        <v>陈桓亘</v>
      </c>
    </row>
    <row r="22" ht="84" spans="1:11">
      <c r="A22" s="6">
        <v>20</v>
      </c>
      <c r="B22" s="5" t="str">
        <f>"2231202Z5012"</f>
        <v>2231202Z5012</v>
      </c>
      <c r="C22" s="5" t="str">
        <f>"张梦雅"</f>
        <v>张梦雅</v>
      </c>
      <c r="D22" s="5" t="str">
        <f>"女"</f>
        <v>女</v>
      </c>
      <c r="E22" s="5" t="str">
        <f>"市场营销管理"</f>
        <v>市场营销管理</v>
      </c>
      <c r="F22" s="5" t="str">
        <f>"2023"</f>
        <v>2023</v>
      </c>
      <c r="G22" s="5" t="str">
        <f>"市场营销学（英）"</f>
        <v>市场营销学（英）</v>
      </c>
      <c r="H22" s="5" t="str">
        <f>"专业必修课"</f>
        <v>专业必修课</v>
      </c>
      <c r="I22" s="5" t="str">
        <f>"周五第5，6节{第1-17周}，周五第7节{第1-17周}"</f>
        <v>周五第5，6节{第1-17周}，周五第7节{第1-17周}</v>
      </c>
      <c r="J22" s="5" t="str">
        <f>"工商管理学院"</f>
        <v>工商管理学院</v>
      </c>
      <c r="K22" s="5" t="str">
        <f>"熊希灵"</f>
        <v>熊希灵</v>
      </c>
    </row>
    <row r="23" ht="84" spans="1:11">
      <c r="A23" s="6">
        <v>21</v>
      </c>
      <c r="B23" s="5" t="str">
        <f>"2220202Z1020"</f>
        <v>2220202Z1020</v>
      </c>
      <c r="C23" s="5" t="str">
        <f>"袁晨曦"</f>
        <v>袁晨曦</v>
      </c>
      <c r="D23" s="5" t="str">
        <f>"女"</f>
        <v>女</v>
      </c>
      <c r="E23" s="5" t="str">
        <f>"数理金融学"</f>
        <v>数理金融学</v>
      </c>
      <c r="F23" s="5" t="str">
        <f>"2022"</f>
        <v>2022</v>
      </c>
      <c r="G23" s="5" t="str">
        <f>"统计学"</f>
        <v>统计学</v>
      </c>
      <c r="H23" s="5" t="str">
        <f>"大学科基础课"</f>
        <v>大学科基础课</v>
      </c>
      <c r="I23" s="5" t="str">
        <f>"周三第7节{第1-17周}，周三第8，9节{第1-17周}"</f>
        <v>周三第7节{第1-17周}，周三第8，9节{第1-17周}</v>
      </c>
      <c r="J23" s="5" t="str">
        <f>"工商管理学院"</f>
        <v>工商管理学院</v>
      </c>
      <c r="K23" s="5" t="str">
        <f>"邱甲贤"</f>
        <v>邱甲贤</v>
      </c>
    </row>
    <row r="24" ht="24" spans="1:11">
      <c r="A24" s="6">
        <v>22</v>
      </c>
      <c r="B24" s="5" t="str">
        <f>"1221202Z5001"</f>
        <v>1221202Z5001</v>
      </c>
      <c r="C24" s="5" t="str">
        <f>"袁川鸿"</f>
        <v>袁川鸿</v>
      </c>
      <c r="D24" s="5" t="str">
        <f>"女"</f>
        <v>女</v>
      </c>
      <c r="E24" s="5" t="str">
        <f>"市场营销管理"</f>
        <v>市场营销管理</v>
      </c>
      <c r="F24" s="5" t="str">
        <f>"2022"</f>
        <v>2022</v>
      </c>
      <c r="G24" s="5" t="str">
        <f>"市场营销学MOOC"</f>
        <v>市场营销学MOOC</v>
      </c>
      <c r="H24" s="5" t="str">
        <f>"慕课"</f>
        <v>慕课</v>
      </c>
      <c r="I24" s="5" t="str">
        <f>"2024年9-12月"</f>
        <v>2024年9-12月</v>
      </c>
      <c r="J24" s="5" t="str">
        <f>"工商管理学院"</f>
        <v>工商管理学院</v>
      </c>
      <c r="K24" s="5" t="str">
        <f>"白璇"</f>
        <v>白璇</v>
      </c>
    </row>
    <row r="25" ht="24" spans="1:11">
      <c r="A25" s="6">
        <v>23</v>
      </c>
      <c r="B25" s="5" t="str">
        <f>"2220202Z3002"</f>
        <v>2220202Z3002</v>
      </c>
      <c r="C25" s="5" t="str">
        <f>"潘书玲"</f>
        <v>潘书玲</v>
      </c>
      <c r="D25" s="5" t="str">
        <f>"女"</f>
        <v>女</v>
      </c>
      <c r="E25" s="5" t="str">
        <f>"金融贸易电子商务"</f>
        <v>金融贸易电子商务</v>
      </c>
      <c r="F25" s="5" t="str">
        <f>"2022"</f>
        <v>2022</v>
      </c>
      <c r="G25" s="5" t="str">
        <f>"数字经济支付MOOC"</f>
        <v>数字经济支付MOOC</v>
      </c>
      <c r="H25" s="5" t="str">
        <f>"慕课"</f>
        <v>慕课</v>
      </c>
      <c r="I25" s="5" t="str">
        <f>"2024年9-12月"</f>
        <v>2024年9-12月</v>
      </c>
      <c r="J25" s="5" t="str">
        <f>"管理科学与工程学院"</f>
        <v>管理科学与工程学院</v>
      </c>
      <c r="K25" s="5" t="str">
        <f>"李忠俊"</f>
        <v>李忠俊</v>
      </c>
    </row>
    <row r="26" ht="48" spans="1:11">
      <c r="A26" s="6">
        <v>24</v>
      </c>
      <c r="B26" s="5" t="str">
        <f>"122120100004"</f>
        <v>122120100004</v>
      </c>
      <c r="C26" s="5" t="str">
        <f>"李玲"</f>
        <v>李玲</v>
      </c>
      <c r="D26" s="5" t="str">
        <f>"女"</f>
        <v>女</v>
      </c>
      <c r="E26" s="5" t="str">
        <f>"管理科学与工程"</f>
        <v>管理科学与工程</v>
      </c>
      <c r="F26" s="5" t="str">
        <f>"2022"</f>
        <v>2022</v>
      </c>
      <c r="G26" s="5" t="str">
        <f>"计算机与大数据基础"</f>
        <v>计算机与大数据基础</v>
      </c>
      <c r="H26" s="5" t="str">
        <f>"通识核心课"</f>
        <v>通识核心课</v>
      </c>
      <c r="I26" s="5" t="str">
        <f>"周二第10，11节{第1-17周}"</f>
        <v>周二第10，11节{第1-17周}</v>
      </c>
      <c r="J26" s="5" t="str">
        <f>"管理科学与工程学院"</f>
        <v>管理科学与工程学院</v>
      </c>
      <c r="K26" s="5" t="str">
        <f>"王宇"</f>
        <v>王宇</v>
      </c>
    </row>
    <row r="27" ht="84" spans="1:11">
      <c r="A27" s="6">
        <v>25</v>
      </c>
      <c r="B27" s="5" t="str">
        <f>"123120100002"</f>
        <v>123120100002</v>
      </c>
      <c r="C27" s="5" t="str">
        <f>"陈叶芳"</f>
        <v>陈叶芳</v>
      </c>
      <c r="D27" s="5" t="str">
        <f>"女"</f>
        <v>女</v>
      </c>
      <c r="E27" s="5" t="str">
        <f>"管理科学与工程"</f>
        <v>管理科学与工程</v>
      </c>
      <c r="F27" s="5" t="str">
        <f>"2023"</f>
        <v>2023</v>
      </c>
      <c r="G27" s="5" t="str">
        <f>"管理运筹学"</f>
        <v>管理运筹学</v>
      </c>
      <c r="H27" s="5" t="str">
        <f>"专业必修课"</f>
        <v>专业必修课</v>
      </c>
      <c r="I27" s="5" t="str">
        <f>"周四第1，2节{第1-17周}，周四第3节{第1-17周}"</f>
        <v>周四第1，2节{第1-17周}，周四第3节{第1-17周}</v>
      </c>
      <c r="J27" s="5" t="str">
        <f>"管理科学与工程学院"</f>
        <v>管理科学与工程学院</v>
      </c>
      <c r="K27" s="5" t="str">
        <f>"张婷"</f>
        <v>张婷</v>
      </c>
    </row>
    <row r="28" ht="48" spans="1:11">
      <c r="A28" s="6">
        <v>26</v>
      </c>
      <c r="B28" s="5" t="str">
        <f>"123120100001"</f>
        <v>123120100001</v>
      </c>
      <c r="C28" s="5" t="str">
        <f>"刘佼"</f>
        <v>刘佼</v>
      </c>
      <c r="D28" s="5" t="str">
        <f>"女"</f>
        <v>女</v>
      </c>
      <c r="E28" s="5" t="str">
        <f>"管理科学与工程"</f>
        <v>管理科学与工程</v>
      </c>
      <c r="F28" s="5" t="str">
        <f>"2023"</f>
        <v>2023</v>
      </c>
      <c r="G28" s="5" t="str">
        <f>"Python程序设计"</f>
        <v>Python程序设计</v>
      </c>
      <c r="H28" s="5" t="str">
        <f>"专业方向课"</f>
        <v>专业方向课</v>
      </c>
      <c r="I28" s="5" t="str">
        <f>"周一第8，9节{第1-17周}"</f>
        <v>周一第8，9节{第1-17周}</v>
      </c>
      <c r="J28" s="5" t="str">
        <f>"管理科学与工程学院"</f>
        <v>管理科学与工程学院</v>
      </c>
      <c r="K28" s="5" t="str">
        <f>"卫柯臻"</f>
        <v>卫柯臻</v>
      </c>
    </row>
    <row r="29" ht="84" spans="1:11">
      <c r="A29" s="6">
        <v>27</v>
      </c>
      <c r="B29" s="5" t="str">
        <f>"123020203002"</f>
        <v>123020203002</v>
      </c>
      <c r="C29" s="5" t="str">
        <f>"谭亦轩"</f>
        <v>谭亦轩</v>
      </c>
      <c r="D29" s="5" t="str">
        <f>"女"</f>
        <v>女</v>
      </c>
      <c r="E29" s="5" t="str">
        <f>"财政学"</f>
        <v>财政学</v>
      </c>
      <c r="F29" s="5" t="str">
        <f>"2023"</f>
        <v>2023</v>
      </c>
      <c r="G29" s="5" t="str">
        <f>"管理运筹学"</f>
        <v>管理运筹学</v>
      </c>
      <c r="H29" s="5" t="str">
        <f>"专业必修课"</f>
        <v>专业必修课</v>
      </c>
      <c r="I29" s="5" t="str">
        <f>"周五第5，6节{第1-17周}，周五第7节{第1-17周}"</f>
        <v>周五第5，6节{第1-17周}，周五第7节{第1-17周}</v>
      </c>
      <c r="J29" s="5" t="str">
        <f>"管理科学与工程学院"</f>
        <v>管理科学与工程学院</v>
      </c>
      <c r="K29" s="5" t="str">
        <f>"张婷"</f>
        <v>张婷</v>
      </c>
    </row>
    <row r="30" ht="84" spans="1:11">
      <c r="A30" s="6">
        <v>28</v>
      </c>
      <c r="B30" s="5" t="str">
        <f>"121120204901"</f>
        <v>121120204901</v>
      </c>
      <c r="C30" s="5" t="str">
        <f>"DENISA RINPRASERTMEECHAI"</f>
        <v>DENISA RINPRASERTMEECHAI</v>
      </c>
      <c r="D30" s="5" t="str">
        <f>"女"</f>
        <v>女</v>
      </c>
      <c r="E30" s="5" t="str">
        <f>"技术经济及管理"</f>
        <v>技术经济及管理</v>
      </c>
      <c r="F30" s="5" t="str">
        <f>"2021"</f>
        <v>2021</v>
      </c>
      <c r="G30" s="5" t="str">
        <f>"Python应用基础MOOC"</f>
        <v>Python应用基础MOOC</v>
      </c>
      <c r="H30" s="5" t="str">
        <f>"慕课"</f>
        <v>慕课</v>
      </c>
      <c r="I30" s="5" t="str">
        <f>"2024年9-12月"</f>
        <v>2024年9-12月</v>
      </c>
      <c r="J30" s="5" t="str">
        <f>"管理科学与工程学院"</f>
        <v>管理科学与工程学院</v>
      </c>
      <c r="K30" s="5" t="str">
        <f>"谢志龙"</f>
        <v>谢志龙</v>
      </c>
    </row>
    <row r="31" ht="48" spans="1:11">
      <c r="A31" s="6">
        <v>29</v>
      </c>
      <c r="B31" s="5" t="str">
        <f>"123020206004"</f>
        <v>123020206004</v>
      </c>
      <c r="C31" s="5" t="str">
        <f>"杨雨萌"</f>
        <v>杨雨萌</v>
      </c>
      <c r="D31" s="5" t="str">
        <f>"女"</f>
        <v>女</v>
      </c>
      <c r="E31" s="5" t="str">
        <f>"国际贸易学"</f>
        <v>国际贸易学</v>
      </c>
      <c r="F31" s="5" t="str">
        <f>"2023"</f>
        <v>2023</v>
      </c>
      <c r="G31" s="5" t="str">
        <f>"微观经济学（双语）"</f>
        <v>微观经济学（双语）</v>
      </c>
      <c r="H31" s="5" t="str">
        <f>"学科基础课"</f>
        <v>学科基础课</v>
      </c>
      <c r="I31" s="5" t="str">
        <f>"周三第10，11，12节{第1-17周}"</f>
        <v>周三第10，11，12节{第1-17周}</v>
      </c>
      <c r="J31" s="5" t="str">
        <f>"国际商学院"</f>
        <v>国际商学院</v>
      </c>
      <c r="K31" s="5" t="str">
        <f>"周茂"</f>
        <v>周茂</v>
      </c>
    </row>
    <row r="32" ht="48" spans="1:11">
      <c r="A32" s="6">
        <v>30</v>
      </c>
      <c r="B32" s="5" t="str">
        <f>"122020206006"</f>
        <v>122020206006</v>
      </c>
      <c r="C32" s="5" t="str">
        <f>"杜宇"</f>
        <v>杜宇</v>
      </c>
      <c r="D32" s="5" t="str">
        <f>"男"</f>
        <v>男</v>
      </c>
      <c r="E32" s="5" t="str">
        <f>"国际贸易学"</f>
        <v>国际贸易学</v>
      </c>
      <c r="F32" s="5" t="str">
        <f>"2022"</f>
        <v>2022</v>
      </c>
      <c r="G32" s="5" t="str">
        <f>"微观经济学（双语）"</f>
        <v>微观经济学（双语）</v>
      </c>
      <c r="H32" s="5" t="str">
        <f>"学科基础课"</f>
        <v>学科基础课</v>
      </c>
      <c r="I32" s="5" t="str">
        <f>"周三第10，11，12节{第1-17周}"</f>
        <v>周三第10，11，12节{第1-17周}</v>
      </c>
      <c r="J32" s="5" t="str">
        <f>"国际商学院"</f>
        <v>国际商学院</v>
      </c>
      <c r="K32" s="5" t="str">
        <f>"王博"</f>
        <v>王博</v>
      </c>
    </row>
    <row r="33" ht="36" spans="1:11">
      <c r="A33" s="6">
        <v>31</v>
      </c>
      <c r="B33" s="5" t="str">
        <f>"1211202Z1003"</f>
        <v>1211202Z1003</v>
      </c>
      <c r="C33" s="5" t="str">
        <f>"吴珊"</f>
        <v>吴珊</v>
      </c>
      <c r="D33" s="5" t="str">
        <f>"女"</f>
        <v>女</v>
      </c>
      <c r="E33" s="5" t="str">
        <f>"国际商务"</f>
        <v>国际商务</v>
      </c>
      <c r="F33" s="5" t="str">
        <f>"2021"</f>
        <v>2021</v>
      </c>
      <c r="G33" s="5" t="str">
        <f>"组织行为学（英文）MOOC"</f>
        <v>组织行为学（英文）MOOC</v>
      </c>
      <c r="H33" s="5" t="str">
        <f>"慕课"</f>
        <v>慕课</v>
      </c>
      <c r="I33" s="5" t="str">
        <f>"2024年9-12月"</f>
        <v>2024年9-12月</v>
      </c>
      <c r="J33" s="5" t="str">
        <f>"国际商学院"</f>
        <v>国际商学院</v>
      </c>
      <c r="K33" s="5" t="str">
        <f>"宁南"</f>
        <v>宁南</v>
      </c>
    </row>
    <row r="34" ht="48" spans="1:11">
      <c r="A34" s="6">
        <v>32</v>
      </c>
      <c r="B34" s="5" t="str">
        <f>"222020206023"</f>
        <v>222020206023</v>
      </c>
      <c r="C34" s="5" t="str">
        <f>"梁思瑶"</f>
        <v>梁思瑶</v>
      </c>
      <c r="D34" s="5" t="str">
        <f>"女"</f>
        <v>女</v>
      </c>
      <c r="E34" s="5" t="str">
        <f>"国际贸易学"</f>
        <v>国际贸易学</v>
      </c>
      <c r="F34" s="5" t="str">
        <f>"2022"</f>
        <v>2022</v>
      </c>
      <c r="G34" s="5" t="str">
        <f>"微观经济学（双语）"</f>
        <v>微观经济学（双语）</v>
      </c>
      <c r="H34" s="5" t="str">
        <f>"学科基础课"</f>
        <v>学科基础课</v>
      </c>
      <c r="I34" s="5" t="str">
        <f>"周三第10，11，12节{第1-17周}"</f>
        <v>周三第10，11，12节{第1-17周}</v>
      </c>
      <c r="J34" s="5" t="str">
        <f>"国际商学院"</f>
        <v>国际商学院</v>
      </c>
      <c r="K34" s="5" t="str">
        <f>"黄载曦"</f>
        <v>黄载曦</v>
      </c>
    </row>
    <row r="35" ht="84" spans="1:11">
      <c r="A35" s="6">
        <v>33</v>
      </c>
      <c r="B35" s="5" t="str">
        <f>"123020206002"</f>
        <v>123020206002</v>
      </c>
      <c r="C35" s="5" t="str">
        <f>"盛寒"</f>
        <v>盛寒</v>
      </c>
      <c r="D35" s="5" t="str">
        <f>"女"</f>
        <v>女</v>
      </c>
      <c r="E35" s="5" t="str">
        <f>"国际贸易学"</f>
        <v>国际贸易学</v>
      </c>
      <c r="F35" s="5" t="str">
        <f>"2023"</f>
        <v>2023</v>
      </c>
      <c r="G35" s="5" t="str">
        <f>"微观经济学（双语）"</f>
        <v>微观经济学（双语）</v>
      </c>
      <c r="H35" s="5" t="str">
        <f>"学科基础课"</f>
        <v>学科基础课</v>
      </c>
      <c r="I35" s="5" t="str">
        <f>"周三第5，6节{第1-17周}，周三第7节{第1-17周}"</f>
        <v>周三第5，6节{第1-17周}，周三第7节{第1-17周}</v>
      </c>
      <c r="J35" s="5" t="str">
        <f>"国际商学院"</f>
        <v>国际商学院</v>
      </c>
      <c r="K35" s="5" t="str">
        <f>"周茂"</f>
        <v>周茂</v>
      </c>
    </row>
    <row r="36" ht="60" spans="1:11">
      <c r="A36" s="6">
        <v>34</v>
      </c>
      <c r="B36" s="5" t="str">
        <f>"121020206006"</f>
        <v>121020206006</v>
      </c>
      <c r="C36" s="5" t="str">
        <f>"代毅"</f>
        <v>代毅</v>
      </c>
      <c r="D36" s="5" t="str">
        <f>"女"</f>
        <v>女</v>
      </c>
      <c r="E36" s="5" t="str">
        <f>"国际贸易学"</f>
        <v>国际贸易学</v>
      </c>
      <c r="F36" s="5" t="str">
        <f>"2021"</f>
        <v>2021</v>
      </c>
      <c r="G36" s="5" t="str">
        <f>"Intermediate Microeconomics MOOC"</f>
        <v>Intermediate Microeconomics MOOC</v>
      </c>
      <c r="H36" s="5" t="str">
        <f>"慕课"</f>
        <v>慕课</v>
      </c>
      <c r="I36" s="5" t="str">
        <f>"2024年9-12月"</f>
        <v>2024年9-12月</v>
      </c>
      <c r="J36" s="5" t="str">
        <f>"国际商学院"</f>
        <v>国际商学院</v>
      </c>
      <c r="K36" s="5" t="str">
        <f>"刘媛媛"</f>
        <v>刘媛媛</v>
      </c>
    </row>
    <row r="37" ht="84" spans="1:11">
      <c r="A37" s="6">
        <v>35</v>
      </c>
      <c r="B37" s="5" t="str">
        <f>"223020104036"</f>
        <v>223020104036</v>
      </c>
      <c r="C37" s="5" t="str">
        <f>"汤廷玥"</f>
        <v>汤廷玥</v>
      </c>
      <c r="D37" s="5" t="str">
        <f>"女"</f>
        <v>女</v>
      </c>
      <c r="E37" s="5" t="str">
        <f>"西方经济学"</f>
        <v>西方经济学</v>
      </c>
      <c r="F37" s="5" t="str">
        <f>"2023"</f>
        <v>2023</v>
      </c>
      <c r="G37" s="5" t="str">
        <f>"微观经济学（双语）"</f>
        <v>微观经济学（双语）</v>
      </c>
      <c r="H37" s="5" t="str">
        <f>"学科基础课"</f>
        <v>学科基础课</v>
      </c>
      <c r="I37" s="5" t="str">
        <f>"周三第5，6节{第1-17周}，周三第7节{第1-17周}"</f>
        <v>周三第5，6节{第1-17周}，周三第7节{第1-17周}</v>
      </c>
      <c r="J37" s="5" t="str">
        <f>"国际商学院"</f>
        <v>国际商学院</v>
      </c>
      <c r="K37" s="5" t="str">
        <f>"李涵"</f>
        <v>李涵</v>
      </c>
    </row>
    <row r="38" ht="60" spans="1:11">
      <c r="A38" s="6">
        <v>36</v>
      </c>
      <c r="B38" s="5" t="str">
        <f>"1231202Z7002"</f>
        <v>1231202Z7002</v>
      </c>
      <c r="C38" s="5" t="str">
        <f>"王潇"</f>
        <v>王潇</v>
      </c>
      <c r="D38" s="5" t="str">
        <f>"女"</f>
        <v>女</v>
      </c>
      <c r="E38" s="5" t="str">
        <f>"审计学"</f>
        <v>审计学</v>
      </c>
      <c r="F38" s="5" t="str">
        <f>"2023"</f>
        <v>2023</v>
      </c>
      <c r="G38" s="5" t="str">
        <f>"The Principle of AuditingMOOC"</f>
        <v>The Principle of AuditingMOOC</v>
      </c>
      <c r="H38" s="5" t="str">
        <f>"慕课"</f>
        <v>慕课</v>
      </c>
      <c r="I38" s="5" t="str">
        <f>"2024年9-12月"</f>
        <v>2024年9-12月</v>
      </c>
      <c r="J38" s="5" t="str">
        <f>"会计学院"</f>
        <v>会计学院</v>
      </c>
      <c r="K38" s="5" t="str">
        <f>"李越冬"</f>
        <v>李越冬</v>
      </c>
    </row>
    <row r="39" ht="24" spans="1:11">
      <c r="A39" s="6">
        <v>37</v>
      </c>
      <c r="B39" s="5" t="str">
        <f>"2231202Z6013"</f>
        <v>2231202Z6013</v>
      </c>
      <c r="C39" s="5" t="str">
        <f>"张卓然"</f>
        <v>张卓然</v>
      </c>
      <c r="D39" s="5" t="str">
        <f>"男"</f>
        <v>男</v>
      </c>
      <c r="E39" s="5" t="str">
        <f>"财务管理"</f>
        <v>财务管理</v>
      </c>
      <c r="F39" s="5" t="str">
        <f>"2023"</f>
        <v>2023</v>
      </c>
      <c r="G39" s="5" t="str">
        <f>"中级财务会计MOOC"</f>
        <v>中级财务会计MOOC</v>
      </c>
      <c r="H39" s="5" t="str">
        <f>"慕课"</f>
        <v>慕课</v>
      </c>
      <c r="I39" s="5" t="str">
        <f>"2024年9-12月"</f>
        <v>2024年9-12月</v>
      </c>
      <c r="J39" s="5" t="str">
        <f>"会计学院"</f>
        <v>会计学院</v>
      </c>
      <c r="K39" s="5" t="str">
        <f>"王雪"</f>
        <v>王雪</v>
      </c>
    </row>
    <row r="40" ht="24" spans="1:11">
      <c r="A40" s="6">
        <v>38</v>
      </c>
      <c r="B40" s="5" t="str">
        <f>"2221202Z7010"</f>
        <v>2221202Z7010</v>
      </c>
      <c r="C40" s="5" t="str">
        <f>"邵雯静"</f>
        <v>邵雯静</v>
      </c>
      <c r="D40" s="5" t="str">
        <f>"女"</f>
        <v>女</v>
      </c>
      <c r="E40" s="5" t="str">
        <f>"审计学"</f>
        <v>审计学</v>
      </c>
      <c r="F40" s="5" t="str">
        <f>"2022"</f>
        <v>2022</v>
      </c>
      <c r="G40" s="5" t="str">
        <f>"审计学MOOC"</f>
        <v>审计学MOOC</v>
      </c>
      <c r="H40" s="5" t="str">
        <f>"慕课"</f>
        <v>慕课</v>
      </c>
      <c r="I40" s="5" t="str">
        <f>"2024年9-12月"</f>
        <v>2024年9-12月</v>
      </c>
      <c r="J40" s="5" t="str">
        <f>"会计学院"</f>
        <v>会计学院</v>
      </c>
      <c r="K40" s="5" t="str">
        <f>"李越冬"</f>
        <v>李越冬</v>
      </c>
    </row>
    <row r="41" ht="48" spans="1:11">
      <c r="A41" s="6">
        <v>39</v>
      </c>
      <c r="B41" s="5" t="str">
        <f>"2221202Z7004"</f>
        <v>2221202Z7004</v>
      </c>
      <c r="C41" s="5" t="str">
        <f>"蒋键青"</f>
        <v>蒋键青</v>
      </c>
      <c r="D41" s="5" t="str">
        <f>"女"</f>
        <v>女</v>
      </c>
      <c r="E41" s="5" t="str">
        <f>"审计学"</f>
        <v>审计学</v>
      </c>
      <c r="F41" s="5" t="str">
        <f>"2022"</f>
        <v>2022</v>
      </c>
      <c r="G41" s="5" t="str">
        <f>"高级财务会计（英）MOOC"</f>
        <v>高级财务会计（英）MOOC</v>
      </c>
      <c r="H41" s="5" t="str">
        <f>"慕课"</f>
        <v>慕课</v>
      </c>
      <c r="I41" s="5" t="str">
        <f>"2024年9-12月"</f>
        <v>2024年9-12月</v>
      </c>
      <c r="J41" s="5" t="str">
        <f>"会计学院"</f>
        <v>会计学院</v>
      </c>
      <c r="K41" s="5" t="str">
        <f>"王静"</f>
        <v>王静</v>
      </c>
    </row>
    <row r="42" ht="24" spans="1:11">
      <c r="A42" s="6">
        <v>40</v>
      </c>
      <c r="B42" s="5" t="str">
        <f>"1231202Z6002"</f>
        <v>1231202Z6002</v>
      </c>
      <c r="C42" s="5" t="str">
        <f>"朱昱璇"</f>
        <v>朱昱璇</v>
      </c>
      <c r="D42" s="5" t="str">
        <f>"女"</f>
        <v>女</v>
      </c>
      <c r="E42" s="5" t="str">
        <f>"财务管理"</f>
        <v>财务管理</v>
      </c>
      <c r="F42" s="5" t="str">
        <f>"2023"</f>
        <v>2023</v>
      </c>
      <c r="G42" s="5" t="str">
        <f>"管理会计学MOOC"</f>
        <v>管理会计学MOOC</v>
      </c>
      <c r="H42" s="5" t="str">
        <f>"慕课"</f>
        <v>慕课</v>
      </c>
      <c r="I42" s="5" t="str">
        <f>"2024年9-12月"</f>
        <v>2024年9-12月</v>
      </c>
      <c r="J42" s="5" t="str">
        <f>"会计学院"</f>
        <v>会计学院</v>
      </c>
      <c r="K42" s="5" t="str">
        <f>"李玉周"</f>
        <v>李玉周</v>
      </c>
    </row>
    <row r="43" ht="120" spans="1:11">
      <c r="A43" s="6">
        <v>41</v>
      </c>
      <c r="B43" s="5" t="str">
        <f>"2221202Z6014"</f>
        <v>2221202Z6014</v>
      </c>
      <c r="C43" s="5" t="str">
        <f>"郭安琪"</f>
        <v>郭安琪</v>
      </c>
      <c r="D43" s="5" t="str">
        <f>"女"</f>
        <v>女</v>
      </c>
      <c r="E43" s="5" t="str">
        <f>"财务管理"</f>
        <v>财务管理</v>
      </c>
      <c r="F43" s="5" t="str">
        <f>"2022"</f>
        <v>2022</v>
      </c>
      <c r="G43" s="5" t="str">
        <f>"会计学原理（FA1，英语）"</f>
        <v>会计学原理（FA1，英语）</v>
      </c>
      <c r="H43" s="5" t="str">
        <f>"大学科基础课"</f>
        <v>大学科基础课</v>
      </c>
      <c r="I43" s="5" t="str">
        <f>"周二第1，2节{第1-17周}，周三第5，6节{第1-17周}，周三第7节{第1-17周}"</f>
        <v>周二第1，2节{第1-17周}，周三第5，6节{第1-17周}，周三第7节{第1-17周}</v>
      </c>
      <c r="J43" s="5" t="str">
        <f>"会计学院"</f>
        <v>会计学院</v>
      </c>
      <c r="K43" s="5" t="str">
        <f>"赵尘"</f>
        <v>赵尘</v>
      </c>
    </row>
    <row r="44" ht="48" spans="1:11">
      <c r="A44" s="6">
        <v>42</v>
      </c>
      <c r="B44" s="5" t="str">
        <f>"2211202Z6021"</f>
        <v>2211202Z6021</v>
      </c>
      <c r="C44" s="5" t="str">
        <f>"张正懿"</f>
        <v>张正懿</v>
      </c>
      <c r="D44" s="5" t="str">
        <f>"男"</f>
        <v>男</v>
      </c>
      <c r="E44" s="5" t="str">
        <f>"财务管理"</f>
        <v>财务管理</v>
      </c>
      <c r="F44" s="5" t="str">
        <f>"2021"</f>
        <v>2021</v>
      </c>
      <c r="G44" s="5" t="str">
        <f>"中级财务会计II（英）MOOC"</f>
        <v>中级财务会计II（英）MOOC</v>
      </c>
      <c r="H44" s="5" t="str">
        <f>"慕课"</f>
        <v>慕课</v>
      </c>
      <c r="I44" s="5" t="str">
        <f>"2024年9-12月"</f>
        <v>2024年9-12月</v>
      </c>
      <c r="J44" s="5" t="str">
        <f>"会计学院"</f>
        <v>会计学院</v>
      </c>
      <c r="K44" s="5" t="str">
        <f>"徐可"</f>
        <v>徐可</v>
      </c>
    </row>
    <row r="45" ht="120" spans="1:11">
      <c r="A45" s="6">
        <v>43</v>
      </c>
      <c r="B45" s="5" t="str">
        <f>"222120201025"</f>
        <v>222120201025</v>
      </c>
      <c r="C45" s="5" t="str">
        <f>"马艺璇"</f>
        <v>马艺璇</v>
      </c>
      <c r="D45" s="5" t="str">
        <f>"女"</f>
        <v>女</v>
      </c>
      <c r="E45" s="5" t="str">
        <f>"会计学"</f>
        <v>会计学</v>
      </c>
      <c r="F45" s="5" t="str">
        <f>"2022"</f>
        <v>2022</v>
      </c>
      <c r="G45" s="5" t="str">
        <f>"会计学原理（FA1，英语）"</f>
        <v>会计学原理（FA1，英语）</v>
      </c>
      <c r="H45" s="5" t="str">
        <f>"大类平台课"</f>
        <v>大类平台课</v>
      </c>
      <c r="I45" s="5" t="str">
        <f>"周一第10，11节{第1-17周}，周五第5，6节{第1-17周}，周五第7节{第1-17周}"</f>
        <v>周一第10，11节{第1-17周}，周五第5，6节{第1-17周}，周五第7节{第1-17周}</v>
      </c>
      <c r="J45" s="5" t="str">
        <f>"会计学院"</f>
        <v>会计学院</v>
      </c>
      <c r="K45" s="5" t="str">
        <f>"陈逸飞"</f>
        <v>陈逸飞</v>
      </c>
    </row>
    <row r="46" ht="60" spans="1:11">
      <c r="A46" s="6">
        <v>44</v>
      </c>
      <c r="B46" s="5" t="str">
        <f>"1211202Z3002"</f>
        <v>1211202Z3002</v>
      </c>
      <c r="C46" s="5" t="str">
        <f>"徐徐"</f>
        <v>徐徐</v>
      </c>
      <c r="D46" s="5" t="str">
        <f>"女"</f>
        <v>女</v>
      </c>
      <c r="E46" s="5" t="str">
        <f>"经济信息技术及管理"</f>
        <v>经济信息技术及管理</v>
      </c>
      <c r="F46" s="5" t="str">
        <f>"2021"</f>
        <v>2021</v>
      </c>
      <c r="G46" s="5" t="str">
        <f>"综合能力训练（ERP模拟经营沙盘）MOOC"</f>
        <v>综合能力训练（ERP模拟经营沙盘）MOOC</v>
      </c>
      <c r="H46" s="5" t="str">
        <f>"慕课"</f>
        <v>慕课</v>
      </c>
      <c r="I46" s="5" t="str">
        <f>"2024年9-12月"</f>
        <v>2024年9-12月</v>
      </c>
      <c r="J46" s="5" t="str">
        <f>"会计学院"</f>
        <v>会计学院</v>
      </c>
      <c r="K46" s="5" t="str">
        <f>"邹燕"</f>
        <v>邹燕</v>
      </c>
    </row>
    <row r="47" ht="120" spans="1:11">
      <c r="A47" s="6">
        <v>45</v>
      </c>
      <c r="B47" s="5" t="str">
        <f>"121120201009"</f>
        <v>121120201009</v>
      </c>
      <c r="C47" s="5" t="str">
        <f>"刘亮"</f>
        <v>刘亮</v>
      </c>
      <c r="D47" s="5" t="str">
        <f>"男"</f>
        <v>男</v>
      </c>
      <c r="E47" s="5" t="str">
        <f>"会计学"</f>
        <v>会计学</v>
      </c>
      <c r="F47" s="5" t="str">
        <f>"2021"</f>
        <v>2021</v>
      </c>
      <c r="G47" s="5" t="str">
        <f>"会计学原理（FA1，英语）"</f>
        <v>会计学原理（FA1，英语）</v>
      </c>
      <c r="H47" s="5" t="str">
        <f>"大类平台课"</f>
        <v>大类平台课</v>
      </c>
      <c r="I47" s="5" t="str">
        <f>"周一第5，6节{第1-17周}，周一第7节{第1-17周}，周三第10，11节{第1-17周}"</f>
        <v>周一第5，6节{第1-17周}，周一第7节{第1-17周}，周三第10，11节{第1-17周}</v>
      </c>
      <c r="J47" s="5" t="str">
        <f>"会计学院"</f>
        <v>会计学院</v>
      </c>
      <c r="K47" s="5" t="str">
        <f>"陈逸飞"</f>
        <v>陈逸飞</v>
      </c>
    </row>
    <row r="48" ht="48" spans="1:11">
      <c r="A48" s="6">
        <v>46</v>
      </c>
      <c r="B48" s="5" t="str">
        <f>"1221202Z6004"</f>
        <v>1221202Z6004</v>
      </c>
      <c r="C48" s="5" t="str">
        <f>"罗乐熙"</f>
        <v>罗乐熙</v>
      </c>
      <c r="D48" s="5" t="str">
        <f>"女"</f>
        <v>女</v>
      </c>
      <c r="E48" s="5" t="str">
        <f>"财务管理"</f>
        <v>财务管理</v>
      </c>
      <c r="F48" s="5" t="str">
        <f>"2022"</f>
        <v>2022</v>
      </c>
      <c r="G48" s="5" t="str">
        <f>"中级财务会计I（英）MOOC"</f>
        <v>中级财务会计I（英）MOOC</v>
      </c>
      <c r="H48" s="5" t="str">
        <f>"慕课"</f>
        <v>慕课</v>
      </c>
      <c r="I48" s="5" t="str">
        <f>"2024年9-12月"</f>
        <v>2024年9-12月</v>
      </c>
      <c r="J48" s="5" t="str">
        <f>"会计学院"</f>
        <v>会计学院</v>
      </c>
      <c r="K48" s="5" t="str">
        <f>"何力"</f>
        <v>何力</v>
      </c>
    </row>
    <row r="49" ht="36" spans="1:11">
      <c r="A49" s="6">
        <v>47</v>
      </c>
      <c r="B49" s="5" t="str">
        <f>"1221202Z6005"</f>
        <v>1221202Z6005</v>
      </c>
      <c r="C49" s="5" t="str">
        <f>"方温柔"</f>
        <v>方温柔</v>
      </c>
      <c r="D49" s="5" t="str">
        <f>"女"</f>
        <v>女</v>
      </c>
      <c r="E49" s="5" t="str">
        <f>"财务管理"</f>
        <v>财务管理</v>
      </c>
      <c r="F49" s="5" t="str">
        <f>"2022"</f>
        <v>2022</v>
      </c>
      <c r="G49" s="5" t="str">
        <f>"初级财务会计(英)MOOC"</f>
        <v>初级财务会计(英)MOOC</v>
      </c>
      <c r="H49" s="5" t="str">
        <f>"慕课"</f>
        <v>慕课</v>
      </c>
      <c r="I49" s="5" t="str">
        <f>"2024年9-12月"</f>
        <v>2024年9-12月</v>
      </c>
      <c r="J49" s="5" t="str">
        <f>"会计学院"</f>
        <v>会计学院</v>
      </c>
      <c r="K49" s="5" t="str">
        <f>"赵尘"</f>
        <v>赵尘</v>
      </c>
    </row>
    <row r="50" ht="84" spans="1:11">
      <c r="A50" s="6">
        <v>48</v>
      </c>
      <c r="B50" s="5" t="str">
        <f>"2221201Z5021"</f>
        <v>2221201Z5021</v>
      </c>
      <c r="C50" s="5" t="str">
        <f>"刘邦鑫"</f>
        <v>刘邦鑫</v>
      </c>
      <c r="D50" s="5" t="str">
        <f>"男"</f>
        <v>男</v>
      </c>
      <c r="E50" s="5" t="str">
        <f>"大数据管理"</f>
        <v>大数据管理</v>
      </c>
      <c r="F50" s="5" t="str">
        <f>"2022"</f>
        <v>2022</v>
      </c>
      <c r="G50" s="5" t="str">
        <f>"线性代数"</f>
        <v>线性代数</v>
      </c>
      <c r="H50" s="5" t="str">
        <f>"通识基础课"</f>
        <v>通识基础课</v>
      </c>
      <c r="I50" s="5" t="str">
        <f>"周一第1，2节{第1-17周}，周一第3节{第1-17周}"</f>
        <v>周一第1，2节{第1-17周}，周一第3节{第1-17周}</v>
      </c>
      <c r="J50" s="5" t="str">
        <f>"计算机与人工智能学院"</f>
        <v>计算机与人工智能学院</v>
      </c>
      <c r="K50" s="5" t="str">
        <f>"苏为"</f>
        <v>苏为</v>
      </c>
    </row>
    <row r="51" ht="48" spans="1:11">
      <c r="A51" s="6">
        <v>49</v>
      </c>
      <c r="B51" s="5" t="str">
        <f>"122120203003"</f>
        <v>122120203003</v>
      </c>
      <c r="C51" s="5" t="str">
        <f>"潘梦强"</f>
        <v>潘梦强</v>
      </c>
      <c r="D51" s="5" t="str">
        <f>"男"</f>
        <v>男</v>
      </c>
      <c r="E51" s="5" t="str">
        <f>"旅游管理"</f>
        <v>旅游管理</v>
      </c>
      <c r="F51" s="5" t="str">
        <f>"2022"</f>
        <v>2022</v>
      </c>
      <c r="G51" s="5" t="str">
        <f>"算法分析与设计"</f>
        <v>算法分析与设计</v>
      </c>
      <c r="H51" s="5" t="str">
        <f>"专业必修课"</f>
        <v>专业必修课</v>
      </c>
      <c r="I51" s="5" t="str">
        <f>"周三第10，11，12节{第1-17周}"</f>
        <v>周三第10，11，12节{第1-17周}</v>
      </c>
      <c r="J51" s="5" t="str">
        <f>"计算机与人工智能学院"</f>
        <v>计算机与人工智能学院</v>
      </c>
      <c r="K51" s="5" t="str">
        <f>"王海林"</f>
        <v>王海林</v>
      </c>
    </row>
    <row r="52" ht="84" spans="1:11">
      <c r="A52" s="6">
        <v>50</v>
      </c>
      <c r="B52" s="5" t="str">
        <f>"223081200006"</f>
        <v>223081200006</v>
      </c>
      <c r="C52" s="5" t="str">
        <f>"魏兵军"</f>
        <v>魏兵军</v>
      </c>
      <c r="D52" s="5" t="str">
        <f>"男"</f>
        <v>男</v>
      </c>
      <c r="E52" s="5" t="str">
        <f>"计算机科学与技术"</f>
        <v>计算机科学与技术</v>
      </c>
      <c r="F52" s="5" t="str">
        <f>"2023"</f>
        <v>2023</v>
      </c>
      <c r="G52" s="5" t="str">
        <f>"大数据技术"</f>
        <v>大数据技术</v>
      </c>
      <c r="H52" s="5" t="str">
        <f>"专业方向课"</f>
        <v>专业方向课</v>
      </c>
      <c r="I52" s="5" t="str">
        <f>"周一第5，6节{第1-17周}，周一第7节{第1-17周}"</f>
        <v>周一第5，6节{第1-17周}，周一第7节{第1-17周}</v>
      </c>
      <c r="J52" s="5" t="str">
        <f>"计算机与人工智能学院"</f>
        <v>计算机与人工智能学院</v>
      </c>
      <c r="K52" s="5" t="str">
        <f>"杜芳"</f>
        <v>杜芳</v>
      </c>
    </row>
    <row r="53" ht="84" spans="1:11">
      <c r="A53" s="6">
        <v>51</v>
      </c>
      <c r="B53" s="5" t="str">
        <f>"222081202012"</f>
        <v>222081202012</v>
      </c>
      <c r="C53" s="5" t="str">
        <f>"郝万钧"</f>
        <v>郝万钧</v>
      </c>
      <c r="D53" s="5" t="str">
        <f>"男"</f>
        <v>男</v>
      </c>
      <c r="E53" s="5" t="str">
        <f>"计算机软件与理论"</f>
        <v>计算机软件与理论</v>
      </c>
      <c r="F53" s="5" t="str">
        <f>"2022"</f>
        <v>2022</v>
      </c>
      <c r="G53" s="5" t="str">
        <f>"算法分析与设计"</f>
        <v>算法分析与设计</v>
      </c>
      <c r="H53" s="5" t="str">
        <f>"专业必修课"</f>
        <v>专业必修课</v>
      </c>
      <c r="I53" s="5" t="str">
        <f>"周五第7节{第1-17周}，周五第8，9节{第1-17周}"</f>
        <v>周五第7节{第1-17周}，周五第8，9节{第1-17周}</v>
      </c>
      <c r="J53" s="5" t="str">
        <f>"计算机与人工智能学院"</f>
        <v>计算机与人工智能学院</v>
      </c>
      <c r="K53" s="5" t="str">
        <f>"施龙"</f>
        <v>施龙</v>
      </c>
    </row>
    <row r="54" ht="84" spans="1:11">
      <c r="A54" s="6">
        <v>52</v>
      </c>
      <c r="B54" s="5" t="str">
        <f>"122120204002"</f>
        <v>122120204002</v>
      </c>
      <c r="C54" s="5" t="str">
        <f>"杨杭生"</f>
        <v>杨杭生</v>
      </c>
      <c r="D54" s="5" t="str">
        <f>"男"</f>
        <v>男</v>
      </c>
      <c r="E54" s="5" t="str">
        <f>"技术经济及管理"</f>
        <v>技术经济及管理</v>
      </c>
      <c r="F54" s="5" t="str">
        <f>"2022"</f>
        <v>2022</v>
      </c>
      <c r="G54" s="5" t="str">
        <f>"数据结构（英）"</f>
        <v>数据结构（英）</v>
      </c>
      <c r="H54" s="5" t="str">
        <f>"专业必修课"</f>
        <v>专业必修课</v>
      </c>
      <c r="I54" s="5" t="str">
        <f>"周三第5，6节{第1-17周}，周三第7节{第1-17周}"</f>
        <v>周三第5，6节{第1-17周}，周三第7节{第1-17周}</v>
      </c>
      <c r="J54" s="5" t="str">
        <f>"计算机与人工智能学院"</f>
        <v>计算机与人工智能学院</v>
      </c>
      <c r="K54" s="5" t="str">
        <f>"王海林"</f>
        <v>王海林</v>
      </c>
    </row>
    <row r="55" ht="84" spans="1:11">
      <c r="A55" s="6">
        <v>53</v>
      </c>
      <c r="B55" s="5" t="str">
        <f>"123120100005"</f>
        <v>123120100005</v>
      </c>
      <c r="C55" s="5" t="str">
        <f>"陈旭彤"</f>
        <v>陈旭彤</v>
      </c>
      <c r="D55" s="5" t="str">
        <f>"女"</f>
        <v>女</v>
      </c>
      <c r="E55" s="5" t="str">
        <f>"管理科学与工程"</f>
        <v>管理科学与工程</v>
      </c>
      <c r="F55" s="5" t="str">
        <f>"2023"</f>
        <v>2023</v>
      </c>
      <c r="G55" s="5" t="str">
        <f>"数据分析（Python）（英）"</f>
        <v>数据分析（Python）（英）</v>
      </c>
      <c r="H55" s="5" t="str">
        <f>"专业方向课"</f>
        <v>专业方向课</v>
      </c>
      <c r="I55" s="5" t="str">
        <f>"周三第5，6节{第1-17周}，周三第7节{第1-17周}"</f>
        <v>周三第5，6节{第1-17周}，周三第7节{第1-17周}</v>
      </c>
      <c r="J55" s="5" t="str">
        <f>"计算机与人工智能学院"</f>
        <v>计算机与人工智能学院</v>
      </c>
      <c r="K55" s="5" t="str">
        <f>"刘凌"</f>
        <v>刘凌</v>
      </c>
    </row>
    <row r="56" ht="48" spans="1:11">
      <c r="A56" s="6">
        <v>54</v>
      </c>
      <c r="B56" s="5" t="str">
        <f>"222081202014"</f>
        <v>222081202014</v>
      </c>
      <c r="C56" s="5" t="str">
        <f>"张超"</f>
        <v>张超</v>
      </c>
      <c r="D56" s="5" t="str">
        <f>"男"</f>
        <v>男</v>
      </c>
      <c r="E56" s="5" t="str">
        <f>"计算机软件与理论"</f>
        <v>计算机软件与理论</v>
      </c>
      <c r="F56" s="5" t="str">
        <f>"2022"</f>
        <v>2022</v>
      </c>
      <c r="G56" s="5" t="str">
        <f>"人工智能与现代科技"</f>
        <v>人工智能与现代科技</v>
      </c>
      <c r="H56" s="5" t="str">
        <f>"通识基础课"</f>
        <v>通识基础课</v>
      </c>
      <c r="I56" s="5" t="str">
        <f>"周一第8，9节{第1-17周}"</f>
        <v>周一第8，9节{第1-17周}</v>
      </c>
      <c r="J56" s="5" t="str">
        <f>"计算机与人工智能学院"</f>
        <v>计算机与人工智能学院</v>
      </c>
      <c r="K56" s="5" t="str">
        <f>"张丹"</f>
        <v>张丹</v>
      </c>
    </row>
    <row r="57" ht="48" spans="1:11">
      <c r="A57" s="6">
        <v>55</v>
      </c>
      <c r="B57" s="5" t="str">
        <f>"1220202Z9001"</f>
        <v>1220202Z9001</v>
      </c>
      <c r="C57" s="5" t="str">
        <f>"苟杰松"</f>
        <v>苟杰松</v>
      </c>
      <c r="D57" s="5" t="str">
        <f>"男"</f>
        <v>男</v>
      </c>
      <c r="E57" s="5" t="str">
        <f>"流通经济学"</f>
        <v>流通经济学</v>
      </c>
      <c r="F57" s="5" t="str">
        <f>"2022"</f>
        <v>2022</v>
      </c>
      <c r="G57" s="5" t="str">
        <f>"人工智能与现代科技"</f>
        <v>人工智能与现代科技</v>
      </c>
      <c r="H57" s="5" t="str">
        <f>"通识基础课"</f>
        <v>通识基础课</v>
      </c>
      <c r="I57" s="5" t="str">
        <f>"周五第8，9节{第1-17周}"</f>
        <v>周五第8，9节{第1-17周}</v>
      </c>
      <c r="J57" s="5" t="str">
        <f>"计算机与人工智能学院"</f>
        <v>计算机与人工智能学院</v>
      </c>
      <c r="K57" s="5" t="str">
        <f>"潘宁宁"</f>
        <v>潘宁宁</v>
      </c>
    </row>
    <row r="58" ht="48" spans="1:11">
      <c r="A58" s="6">
        <v>56</v>
      </c>
      <c r="B58" s="5" t="str">
        <f>"223081200019"</f>
        <v>223081200019</v>
      </c>
      <c r="C58" s="5" t="str">
        <f>"许雯婷"</f>
        <v>许雯婷</v>
      </c>
      <c r="D58" s="5" t="str">
        <f>"女"</f>
        <v>女</v>
      </c>
      <c r="E58" s="5" t="str">
        <f>"计算机科学与技术"</f>
        <v>计算机科学与技术</v>
      </c>
      <c r="F58" s="5" t="str">
        <f>"2023"</f>
        <v>2023</v>
      </c>
      <c r="G58" s="5" t="str">
        <f>"人工智能与现代科技"</f>
        <v>人工智能与现代科技</v>
      </c>
      <c r="H58" s="5" t="str">
        <f>"通识基础课"</f>
        <v>通识基础课</v>
      </c>
      <c r="I58" s="5" t="str">
        <f>"周五第3，4节{第1-17周}"</f>
        <v>周五第3，4节{第1-17周}</v>
      </c>
      <c r="J58" s="5" t="str">
        <f>"计算机与人工智能学院"</f>
        <v>计算机与人工智能学院</v>
      </c>
      <c r="K58" s="5" t="str">
        <f>"陈珍珠"</f>
        <v>陈珍珠</v>
      </c>
    </row>
    <row r="59" ht="72" spans="1:11">
      <c r="A59" s="6">
        <v>57</v>
      </c>
      <c r="B59" s="5" t="str">
        <f>"119120204901"</f>
        <v>119120204901</v>
      </c>
      <c r="C59" s="5" t="str">
        <f>"METOH ADLER LOUA"</f>
        <v>METOH ADLER LOUA</v>
      </c>
      <c r="D59" s="5" t="str">
        <f>"男"</f>
        <v>男</v>
      </c>
      <c r="E59" s="5" t="str">
        <f>"技术经济及管理"</f>
        <v>技术经济及管理</v>
      </c>
      <c r="F59" s="5" t="str">
        <f>"2019"</f>
        <v>2019</v>
      </c>
      <c r="G59" s="5" t="str">
        <f>"人工智能与现代科技"</f>
        <v>人工智能与现代科技</v>
      </c>
      <c r="H59" s="5" t="str">
        <f>"通识基础课"</f>
        <v>通识基础课</v>
      </c>
      <c r="I59" s="5" t="str">
        <f>"周五第6节{第1-17周}，周五第7节{第1-17周}"</f>
        <v>周五第6节{第1-17周}，周五第7节{第1-17周}</v>
      </c>
      <c r="J59" s="5" t="str">
        <f>"计算机与人工智能学院"</f>
        <v>计算机与人工智能学院</v>
      </c>
      <c r="K59" s="5" t="str">
        <f>"黄士罗"</f>
        <v>黄士罗</v>
      </c>
    </row>
    <row r="60" ht="84" spans="1:11">
      <c r="A60" s="6">
        <v>58</v>
      </c>
      <c r="B60" s="5" t="str">
        <f>"1221202Z6008"</f>
        <v>1221202Z6008</v>
      </c>
      <c r="C60" s="5" t="str">
        <f>"马姣"</f>
        <v>马姣</v>
      </c>
      <c r="D60" s="5" t="str">
        <f>"女"</f>
        <v>女</v>
      </c>
      <c r="E60" s="5" t="str">
        <f>"财务管理"</f>
        <v>财务管理</v>
      </c>
      <c r="F60" s="5" t="str">
        <f>"2022"</f>
        <v>2022</v>
      </c>
      <c r="G60" s="5" t="str">
        <f>"程序设计（C语言）"</f>
        <v>程序设计（C语言）</v>
      </c>
      <c r="H60" s="5" t="str">
        <f>"通识基础课"</f>
        <v>通识基础课</v>
      </c>
      <c r="I60" s="5" t="str">
        <f>"周三第5，6节{第1-17周}，周三第7节{第1-17周}"</f>
        <v>周三第5，6节{第1-17周}，周三第7节{第1-17周}</v>
      </c>
      <c r="J60" s="5" t="str">
        <f>"计算机与人工智能学院"</f>
        <v>计算机与人工智能学院</v>
      </c>
      <c r="K60" s="5" t="str">
        <f>"蔡庆"</f>
        <v>蔡庆</v>
      </c>
    </row>
    <row r="61" ht="48" spans="1:11">
      <c r="A61" s="6">
        <v>59</v>
      </c>
      <c r="B61" s="5" t="str">
        <f>"223081200018"</f>
        <v>223081200018</v>
      </c>
      <c r="C61" s="5" t="str">
        <f>"孙浩"</f>
        <v>孙浩</v>
      </c>
      <c r="D61" s="5" t="str">
        <f>"男"</f>
        <v>男</v>
      </c>
      <c r="E61" s="5" t="str">
        <f>"计算机科学与技术"</f>
        <v>计算机科学与技术</v>
      </c>
      <c r="F61" s="5" t="str">
        <f>"2023"</f>
        <v>2023</v>
      </c>
      <c r="G61" s="5" t="str">
        <f>"计算机与大数据基础"</f>
        <v>计算机与大数据基础</v>
      </c>
      <c r="H61" s="5" t="str">
        <f>"通识核心课"</f>
        <v>通识核心课</v>
      </c>
      <c r="I61" s="5" t="str">
        <f>"周四第3，4节{第1-17周}"</f>
        <v>周四第3，4节{第1-17周}</v>
      </c>
      <c r="J61" s="5" t="str">
        <f>"计算机与人工智能学院"</f>
        <v>计算机与人工智能学院</v>
      </c>
      <c r="K61" s="5" t="str">
        <f>"黄士罗"</f>
        <v>黄士罗</v>
      </c>
    </row>
    <row r="62" ht="84" spans="1:11">
      <c r="A62" s="6">
        <v>60</v>
      </c>
      <c r="B62" s="5" t="str">
        <f>"122120204003"</f>
        <v>122120204003</v>
      </c>
      <c r="C62" s="5" t="str">
        <f>"杨晓龙"</f>
        <v>杨晓龙</v>
      </c>
      <c r="D62" s="5" t="str">
        <f>"男"</f>
        <v>男</v>
      </c>
      <c r="E62" s="5" t="str">
        <f>"技术经济及管理"</f>
        <v>技术经济及管理</v>
      </c>
      <c r="F62" s="5" t="str">
        <f>"2022"</f>
        <v>2022</v>
      </c>
      <c r="G62" s="5" t="str">
        <f>"自然语言处理"</f>
        <v>自然语言处理</v>
      </c>
      <c r="H62" s="5" t="str">
        <f>"专业必修课"</f>
        <v>专业必修课</v>
      </c>
      <c r="I62" s="5" t="str">
        <f>"周五第1，2节{第1-17周}，周五第3节{第1-17周}"</f>
        <v>周五第1，2节{第1-17周}，周五第3节{第1-17周}</v>
      </c>
      <c r="J62" s="5" t="str">
        <f>"计算机与人工智能学院"</f>
        <v>计算机与人工智能学院</v>
      </c>
      <c r="K62" s="5" t="str">
        <f>"陈星延"</f>
        <v>陈星延</v>
      </c>
    </row>
    <row r="63" ht="48" spans="1:11">
      <c r="A63" s="6">
        <v>61</v>
      </c>
      <c r="B63" s="5" t="str">
        <f>"121020204049"</f>
        <v>121020204049</v>
      </c>
      <c r="C63" s="5" t="str">
        <f>"胡长宇"</f>
        <v>胡长宇</v>
      </c>
      <c r="D63" s="5" t="str">
        <f>"女"</f>
        <v>女</v>
      </c>
      <c r="E63" s="5" t="str">
        <f>"金融学"</f>
        <v>金融学</v>
      </c>
      <c r="F63" s="5" t="str">
        <f>"2021"</f>
        <v>2021</v>
      </c>
      <c r="G63" s="5" t="str">
        <f>"人工智能导论"</f>
        <v>人工智能导论</v>
      </c>
      <c r="H63" s="5" t="str">
        <f>"大学科基础课"</f>
        <v>大学科基础课</v>
      </c>
      <c r="I63" s="5" t="str">
        <f>"周一第8，9节{第1-17周}"</f>
        <v>周一第8，9节{第1-17周}</v>
      </c>
      <c r="J63" s="5" t="str">
        <f>"计算机与人工智能学院"</f>
        <v>计算机与人工智能学院</v>
      </c>
      <c r="K63" s="5" t="str">
        <f>"邓烨"</f>
        <v>邓烨</v>
      </c>
    </row>
    <row r="64" ht="48" spans="1:11">
      <c r="A64" s="6">
        <v>62</v>
      </c>
      <c r="B64" s="5" t="str">
        <f>"1221201Z5004"</f>
        <v>1221201Z5004</v>
      </c>
      <c r="C64" s="5" t="str">
        <f>"吴美君"</f>
        <v>吴美君</v>
      </c>
      <c r="D64" s="5" t="str">
        <f>"女"</f>
        <v>女</v>
      </c>
      <c r="E64" s="5" t="str">
        <f>"大数据管理"</f>
        <v>大数据管理</v>
      </c>
      <c r="F64" s="5" t="str">
        <f>"2022"</f>
        <v>2022</v>
      </c>
      <c r="G64" s="5" t="str">
        <f>"人工智能与现代科技"</f>
        <v>人工智能与现代科技</v>
      </c>
      <c r="H64" s="5" t="str">
        <f>"通识基础课"</f>
        <v>通识基础课</v>
      </c>
      <c r="I64" s="5" t="str">
        <f>"周四第8，9节{第1-17周}"</f>
        <v>周四第8，9节{第1-17周}</v>
      </c>
      <c r="J64" s="5" t="str">
        <f>"计算机与人工智能学院"</f>
        <v>计算机与人工智能学院</v>
      </c>
      <c r="K64" s="5" t="str">
        <f>"温良剑"</f>
        <v>温良剑</v>
      </c>
    </row>
    <row r="65" ht="48" spans="1:11">
      <c r="A65" s="6">
        <v>63</v>
      </c>
      <c r="B65" s="5" t="str">
        <f>"1230701Z1004"</f>
        <v>1230701Z1004</v>
      </c>
      <c r="C65" s="5" t="str">
        <f>"胡业勋"</f>
        <v>胡业勋</v>
      </c>
      <c r="D65" s="5" t="str">
        <f>"男"</f>
        <v>男</v>
      </c>
      <c r="E65" s="5" t="str">
        <f>"人工智能理论与应用"</f>
        <v>人工智能理论与应用</v>
      </c>
      <c r="F65" s="5" t="str">
        <f>"2023"</f>
        <v>2023</v>
      </c>
      <c r="G65" s="5" t="str">
        <f>"人工智能导论"</f>
        <v>人工智能导论</v>
      </c>
      <c r="H65" s="5" t="str">
        <f>"大学科基础课"</f>
        <v>大学科基础课</v>
      </c>
      <c r="I65" s="5" t="str">
        <f>"周一第8，9节{第1-17周}"</f>
        <v>周一第8，9节{第1-17周}</v>
      </c>
      <c r="J65" s="5" t="str">
        <f>"计算机与人工智能学院"</f>
        <v>计算机与人工智能学院</v>
      </c>
      <c r="K65" s="5" t="str">
        <f>"马奥"</f>
        <v>马奥</v>
      </c>
    </row>
    <row r="66" ht="48" spans="1:11">
      <c r="A66" s="6">
        <v>64</v>
      </c>
      <c r="B66" s="5" t="str">
        <f>"223081200015"</f>
        <v>223081200015</v>
      </c>
      <c r="C66" s="5" t="str">
        <f>"杨帅"</f>
        <v>杨帅</v>
      </c>
      <c r="D66" s="5" t="str">
        <f>"男"</f>
        <v>男</v>
      </c>
      <c r="E66" s="5" t="str">
        <f>"计算机科学与技术"</f>
        <v>计算机科学与技术</v>
      </c>
      <c r="F66" s="5" t="str">
        <f>"2023"</f>
        <v>2023</v>
      </c>
      <c r="G66" s="5" t="str">
        <f>"计算机与大数据基础"</f>
        <v>计算机与大数据基础</v>
      </c>
      <c r="H66" s="5" t="str">
        <f>"通识核心课"</f>
        <v>通识核心课</v>
      </c>
      <c r="I66" s="5" t="str">
        <f>"周四第1，2节{第1-17周}"</f>
        <v>周四第1，2节{第1-17周}</v>
      </c>
      <c r="J66" s="5" t="str">
        <f>"计算机与人工智能学院"</f>
        <v>计算机与人工智能学院</v>
      </c>
      <c r="K66" s="5" t="str">
        <f>"黄士罗"</f>
        <v>黄士罗</v>
      </c>
    </row>
    <row r="67" ht="48" spans="1:11">
      <c r="A67" s="6">
        <v>65</v>
      </c>
      <c r="B67" s="5" t="str">
        <f>"223081200053"</f>
        <v>223081200053</v>
      </c>
      <c r="C67" s="5" t="str">
        <f>"杨科强"</f>
        <v>杨科强</v>
      </c>
      <c r="D67" s="5" t="str">
        <f>"男"</f>
        <v>男</v>
      </c>
      <c r="E67" s="5" t="str">
        <f>"计算机科学与技术"</f>
        <v>计算机科学与技术</v>
      </c>
      <c r="F67" s="5" t="str">
        <f>"2023"</f>
        <v>2023</v>
      </c>
      <c r="G67" s="5" t="str">
        <f>"人工智能与现代科技"</f>
        <v>人工智能与现代科技</v>
      </c>
      <c r="H67" s="5" t="str">
        <f>"通识基础课"</f>
        <v>通识基础课</v>
      </c>
      <c r="I67" s="5" t="str">
        <f>"周四第8，9节{第1-17周}"</f>
        <v>周四第8，9节{第1-17周}</v>
      </c>
      <c r="J67" s="5" t="str">
        <f>"计算机与人工智能学院"</f>
        <v>计算机与人工智能学院</v>
      </c>
      <c r="K67" s="5" t="str">
        <f>"杨山田"</f>
        <v>杨山田</v>
      </c>
    </row>
    <row r="68" ht="48" spans="1:11">
      <c r="A68" s="6">
        <v>66</v>
      </c>
      <c r="B68" s="5" t="str">
        <f>"121020205004"</f>
        <v>121020205004</v>
      </c>
      <c r="C68" s="5" t="str">
        <f>"王小青"</f>
        <v>王小青</v>
      </c>
      <c r="D68" s="5" t="str">
        <f>"女"</f>
        <v>女</v>
      </c>
      <c r="E68" s="5" t="str">
        <f>"产业经济学"</f>
        <v>产业经济学</v>
      </c>
      <c r="F68" s="5" t="str">
        <f>"2021"</f>
        <v>2021</v>
      </c>
      <c r="G68" s="5" t="str">
        <f>"计算机与大数据基础"</f>
        <v>计算机与大数据基础</v>
      </c>
      <c r="H68" s="5" t="str">
        <f>"通识基础课"</f>
        <v>通识基础课</v>
      </c>
      <c r="I68" s="5" t="str">
        <f>"周四第8，9节{第1-17周}"</f>
        <v>周四第8，9节{第1-17周}</v>
      </c>
      <c r="J68" s="5" t="str">
        <f>"计算机与人工智能学院"</f>
        <v>计算机与人工智能学院</v>
      </c>
      <c r="K68" s="5" t="str">
        <f>"杜芳"</f>
        <v>杜芳</v>
      </c>
    </row>
    <row r="69" ht="48" spans="1:11">
      <c r="A69" s="6">
        <v>67</v>
      </c>
      <c r="B69" s="5" t="str">
        <f>"222081203017"</f>
        <v>222081203017</v>
      </c>
      <c r="C69" s="5" t="str">
        <f>"黄浩南"</f>
        <v>黄浩南</v>
      </c>
      <c r="D69" s="5" t="str">
        <f>"男"</f>
        <v>男</v>
      </c>
      <c r="E69" s="5" t="str">
        <f>"计算机应用技术"</f>
        <v>计算机应用技术</v>
      </c>
      <c r="F69" s="5" t="str">
        <f>"2022"</f>
        <v>2022</v>
      </c>
      <c r="G69" s="5" t="str">
        <f>"算法分析与设计"</f>
        <v>算法分析与设计</v>
      </c>
      <c r="H69" s="5" t="str">
        <f>"专业必修课"</f>
        <v>专业必修课</v>
      </c>
      <c r="I69" s="5" t="str">
        <f>"周三第10，11，12节{第1-17周}"</f>
        <v>周三第10，11，12节{第1-17周}</v>
      </c>
      <c r="J69" s="5" t="str">
        <f>"计算机与人工智能学院"</f>
        <v>计算机与人工智能学院</v>
      </c>
      <c r="K69" s="5" t="str">
        <f>"施龙"</f>
        <v>施龙</v>
      </c>
    </row>
    <row r="70" ht="84" spans="1:11">
      <c r="A70" s="6">
        <v>68</v>
      </c>
      <c r="B70" s="5" t="str">
        <f>"123020204021"</f>
        <v>123020204021</v>
      </c>
      <c r="C70" s="5" t="str">
        <f>"陈条"</f>
        <v>陈条</v>
      </c>
      <c r="D70" s="5" t="str">
        <f>"女"</f>
        <v>女</v>
      </c>
      <c r="E70" s="5" t="str">
        <f>"金融学"</f>
        <v>金融学</v>
      </c>
      <c r="F70" s="5" t="str">
        <f>"2023"</f>
        <v>2023</v>
      </c>
      <c r="G70" s="5" t="str">
        <f>"程序设计及应用（Python）Ⅱ"</f>
        <v>程序设计及应用（Python）Ⅱ</v>
      </c>
      <c r="H70" s="5" t="str">
        <f>"通识基础课"</f>
        <v>通识基础课</v>
      </c>
      <c r="I70" s="5" t="str">
        <f>"周三第5，6节{第1-17周}，周三第7节{第1-17周}"</f>
        <v>周三第5，6节{第1-17周}，周三第7节{第1-17周}</v>
      </c>
      <c r="J70" s="5" t="str">
        <f>"计算机与人工智能学院"</f>
        <v>计算机与人工智能学院</v>
      </c>
      <c r="K70" s="5" t="str">
        <f>"钟俊英"</f>
        <v>钟俊英</v>
      </c>
    </row>
    <row r="71" ht="84" spans="1:11">
      <c r="A71" s="6">
        <v>69</v>
      </c>
      <c r="B71" s="5" t="str">
        <f>"1230202Z2005"</f>
        <v>1230202Z2005</v>
      </c>
      <c r="C71" s="5" t="str">
        <f>"郑泽旭"</f>
        <v>郑泽旭</v>
      </c>
      <c r="D71" s="5" t="str">
        <f>"男"</f>
        <v>男</v>
      </c>
      <c r="E71" s="5" t="str">
        <f>"金融工程"</f>
        <v>金融工程</v>
      </c>
      <c r="F71" s="5" t="str">
        <f>"2023"</f>
        <v>2023</v>
      </c>
      <c r="G71" s="5" t="str">
        <f>"程序设计及应用（Python）Ⅱ"</f>
        <v>程序设计及应用（Python）Ⅱ</v>
      </c>
      <c r="H71" s="5" t="str">
        <f>"通识基础课"</f>
        <v>通识基础课</v>
      </c>
      <c r="I71" s="5" t="str">
        <f>"周五第5，6节{第1-17周}，周五第7节{第1-17周}"</f>
        <v>周五第5，6节{第1-17周}，周五第7节{第1-17周}</v>
      </c>
      <c r="J71" s="5" t="str">
        <f>"计算机与人工智能学院"</f>
        <v>计算机与人工智能学院</v>
      </c>
      <c r="K71" s="5" t="str">
        <f>"钟俊英"</f>
        <v>钟俊英</v>
      </c>
    </row>
    <row r="72" ht="48" spans="1:11">
      <c r="A72" s="6">
        <v>70</v>
      </c>
      <c r="B72" s="5" t="str">
        <f>"223081200042"</f>
        <v>223081200042</v>
      </c>
      <c r="C72" s="5" t="str">
        <f>"梁昊扬"</f>
        <v>梁昊扬</v>
      </c>
      <c r="D72" s="5" t="str">
        <f>"男"</f>
        <v>男</v>
      </c>
      <c r="E72" s="5" t="str">
        <f>"计算机科学与技术"</f>
        <v>计算机科学与技术</v>
      </c>
      <c r="F72" s="5" t="str">
        <f>"2023"</f>
        <v>2023</v>
      </c>
      <c r="G72" s="5" t="str">
        <f>"人工智能导论"</f>
        <v>人工智能导论</v>
      </c>
      <c r="H72" s="5" t="str">
        <f>"大学科基础课"</f>
        <v>大学科基础课</v>
      </c>
      <c r="I72" s="5" t="str">
        <f>"周一第10，11节{第1-17周}"</f>
        <v>周一第10，11节{第1-17周}</v>
      </c>
      <c r="J72" s="5" t="str">
        <f>"计算机与人工智能学院"</f>
        <v>计算机与人工智能学院</v>
      </c>
      <c r="K72" s="5" t="str">
        <f>"邓烨"</f>
        <v>邓烨</v>
      </c>
    </row>
    <row r="73" ht="84" spans="1:11">
      <c r="A73" s="6">
        <v>71</v>
      </c>
      <c r="B73" s="5" t="str">
        <f>"223120100009"</f>
        <v>223120100009</v>
      </c>
      <c r="C73" s="5" t="str">
        <f>"杜欣洁"</f>
        <v>杜欣洁</v>
      </c>
      <c r="D73" s="5" t="str">
        <f>"女"</f>
        <v>女</v>
      </c>
      <c r="E73" s="5" t="str">
        <f>"管理科学与工程"</f>
        <v>管理科学与工程</v>
      </c>
      <c r="F73" s="5" t="str">
        <f>"2023"</f>
        <v>2023</v>
      </c>
      <c r="G73" s="5" t="str">
        <f>"自然语言处理"</f>
        <v>自然语言处理</v>
      </c>
      <c r="H73" s="5" t="str">
        <f>"专业方向课"</f>
        <v>专业方向课</v>
      </c>
      <c r="I73" s="5" t="str">
        <f>"周五第1，2节{第1-17周}，周五第3节{第1-17周}"</f>
        <v>周五第1，2节{第1-17周}，周五第3节{第1-17周}</v>
      </c>
      <c r="J73" s="5" t="str">
        <f>"计算机与人工智能学院"</f>
        <v>计算机与人工智能学院</v>
      </c>
      <c r="K73" s="5" t="str">
        <f>"潘宁宁"</f>
        <v>潘宁宁</v>
      </c>
    </row>
    <row r="74" ht="48" spans="1:11">
      <c r="A74" s="6">
        <v>72</v>
      </c>
      <c r="B74" s="5" t="str">
        <f>"222081202005"</f>
        <v>222081202005</v>
      </c>
      <c r="C74" s="5" t="str">
        <f>"苏中惠"</f>
        <v>苏中惠</v>
      </c>
      <c r="D74" s="5" t="str">
        <f>"女"</f>
        <v>女</v>
      </c>
      <c r="E74" s="5" t="str">
        <f>"计算机软件与理论"</f>
        <v>计算机软件与理论</v>
      </c>
      <c r="F74" s="5" t="str">
        <f>"2022"</f>
        <v>2022</v>
      </c>
      <c r="G74" s="5" t="str">
        <f>"人工智能与现代科技"</f>
        <v>人工智能与现代科技</v>
      </c>
      <c r="H74" s="5" t="str">
        <f>"通识基础课"</f>
        <v>通识基础课</v>
      </c>
      <c r="I74" s="5" t="str">
        <f>"周一第8，9节{第1-17周}"</f>
        <v>周一第8，9节{第1-17周}</v>
      </c>
      <c r="J74" s="5" t="str">
        <f>"计算机与人工智能学院"</f>
        <v>计算机与人工智能学院</v>
      </c>
      <c r="K74" s="5" t="str">
        <f>"黄鹂"</f>
        <v>黄鹂</v>
      </c>
    </row>
    <row r="75" ht="84" spans="1:11">
      <c r="A75" s="6">
        <v>73</v>
      </c>
      <c r="B75" s="5" t="str">
        <f>"122020204006"</f>
        <v>122020204006</v>
      </c>
      <c r="C75" s="5" t="str">
        <f>"王松"</f>
        <v>王松</v>
      </c>
      <c r="D75" s="5" t="str">
        <f>"男"</f>
        <v>男</v>
      </c>
      <c r="E75" s="5" t="str">
        <f>"金融学"</f>
        <v>金融学</v>
      </c>
      <c r="F75" s="5" t="str">
        <f>"2022"</f>
        <v>2022</v>
      </c>
      <c r="G75" s="5" t="str">
        <f>"线性代数"</f>
        <v>线性代数</v>
      </c>
      <c r="H75" s="5" t="str">
        <f>"通识基础课"</f>
        <v>通识基础课</v>
      </c>
      <c r="I75" s="5" t="str">
        <f>"周三第5，6节{第1-17周}，周三第7节{第1-17周}"</f>
        <v>周三第5，6节{第1-17周}，周三第7节{第1-17周}</v>
      </c>
      <c r="J75" s="5" t="str">
        <f>"计算机与人工智能学院"</f>
        <v>计算机与人工智能学院</v>
      </c>
      <c r="K75" s="5" t="str">
        <f>"苏为"</f>
        <v>苏为</v>
      </c>
    </row>
    <row r="76" ht="48" spans="1:11">
      <c r="A76" s="6">
        <v>74</v>
      </c>
      <c r="B76" s="5" t="str">
        <f>"223081200052"</f>
        <v>223081200052</v>
      </c>
      <c r="C76" s="5" t="str">
        <f>"钟一"</f>
        <v>钟一</v>
      </c>
      <c r="D76" s="5" t="str">
        <f>"男"</f>
        <v>男</v>
      </c>
      <c r="E76" s="5" t="str">
        <f>"计算机科学与技术"</f>
        <v>计算机科学与技术</v>
      </c>
      <c r="F76" s="5" t="str">
        <f>"2023"</f>
        <v>2023</v>
      </c>
      <c r="G76" s="5" t="str">
        <f>"人工智能与现代科技"</f>
        <v>人工智能与现代科技</v>
      </c>
      <c r="H76" s="5" t="str">
        <f>"通识基础课"</f>
        <v>通识基础课</v>
      </c>
      <c r="I76" s="5" t="str">
        <f>"周一第1，2节{第1-17周}"</f>
        <v>周一第1，2节{第1-17周}</v>
      </c>
      <c r="J76" s="5" t="str">
        <f>"计算机与人工智能学院"</f>
        <v>计算机与人工智能学院</v>
      </c>
      <c r="K76" s="5" t="str">
        <f>"陈珍珠"</f>
        <v>陈珍珠</v>
      </c>
    </row>
    <row r="77" ht="48" spans="1:11">
      <c r="A77" s="6">
        <v>75</v>
      </c>
      <c r="B77" s="5" t="str">
        <f>"223081200034"</f>
        <v>223081200034</v>
      </c>
      <c r="C77" s="5" t="str">
        <f>"邓文扬"</f>
        <v>邓文扬</v>
      </c>
      <c r="D77" s="5" t="str">
        <f>"男"</f>
        <v>男</v>
      </c>
      <c r="E77" s="5" t="str">
        <f>"计算机科学与技术"</f>
        <v>计算机科学与技术</v>
      </c>
      <c r="F77" s="5" t="str">
        <f>"2023"</f>
        <v>2023</v>
      </c>
      <c r="G77" s="5" t="str">
        <f>"人工智能与现代科技"</f>
        <v>人工智能与现代科技</v>
      </c>
      <c r="H77" s="5" t="str">
        <f>"通识基础课"</f>
        <v>通识基础课</v>
      </c>
      <c r="I77" s="5" t="str">
        <f>"周五第8，9节{第1-17周}"</f>
        <v>周五第8，9节{第1-17周}</v>
      </c>
      <c r="J77" s="5" t="str">
        <f>"计算机与人工智能学院"</f>
        <v>计算机与人工智能学院</v>
      </c>
      <c r="K77" s="5" t="str">
        <f>"杨山田"</f>
        <v>杨山田</v>
      </c>
    </row>
    <row r="78" ht="48" spans="1:11">
      <c r="A78" s="6">
        <v>76</v>
      </c>
      <c r="B78" s="5" t="str">
        <f>"2230202Z2034"</f>
        <v>2230202Z2034</v>
      </c>
      <c r="C78" s="5" t="str">
        <f>"樊雪迎"</f>
        <v>樊雪迎</v>
      </c>
      <c r="D78" s="5" t="str">
        <f>"女"</f>
        <v>女</v>
      </c>
      <c r="E78" s="5" t="str">
        <f>"金融工程"</f>
        <v>金融工程</v>
      </c>
      <c r="F78" s="5" t="str">
        <f>"2023"</f>
        <v>2023</v>
      </c>
      <c r="G78" s="5" t="str">
        <f>"人工智能与现代科技"</f>
        <v>人工智能与现代科技</v>
      </c>
      <c r="H78" s="5" t="str">
        <f>"通识基础课"</f>
        <v>通识基础课</v>
      </c>
      <c r="I78" s="5" t="str">
        <f>"周一第8，9节{第1-17周}"</f>
        <v>周一第8，9节{第1-17周}</v>
      </c>
      <c r="J78" s="5" t="str">
        <f>"计算机与人工智能学院"</f>
        <v>计算机与人工智能学院</v>
      </c>
      <c r="K78" s="5" t="str">
        <f>"黄鹂"</f>
        <v>黄鹂</v>
      </c>
    </row>
    <row r="79" ht="48" spans="1:11">
      <c r="A79" s="6">
        <v>77</v>
      </c>
      <c r="B79" s="5" t="str">
        <f>"1221202Z3002"</f>
        <v>1221202Z3002</v>
      </c>
      <c r="C79" s="5" t="str">
        <f>"李艳花"</f>
        <v>李艳花</v>
      </c>
      <c r="D79" s="5" t="str">
        <f>"女"</f>
        <v>女</v>
      </c>
      <c r="E79" s="5" t="str">
        <f>"经济信息技术及管理"</f>
        <v>经济信息技术及管理</v>
      </c>
      <c r="F79" s="5" t="str">
        <f>"2022"</f>
        <v>2022</v>
      </c>
      <c r="G79" s="5" t="str">
        <f>"计算机与大数据基础"</f>
        <v>计算机与大数据基础</v>
      </c>
      <c r="H79" s="5" t="str">
        <f>"通识基础课"</f>
        <v>通识基础课</v>
      </c>
      <c r="I79" s="5" t="str">
        <f>"周三第8，9节{第1-17周}"</f>
        <v>周三第8，9节{第1-17周}</v>
      </c>
      <c r="J79" s="5" t="str">
        <f>"计算机与人工智能学院"</f>
        <v>计算机与人工智能学院</v>
      </c>
      <c r="K79" s="5" t="str">
        <f>"邓烨"</f>
        <v>邓烨</v>
      </c>
    </row>
    <row r="80" ht="48" spans="1:11">
      <c r="A80" s="6">
        <v>78</v>
      </c>
      <c r="B80" s="5" t="str">
        <f>"223081200060"</f>
        <v>223081200060</v>
      </c>
      <c r="C80" s="5" t="str">
        <f>"王景凯"</f>
        <v>王景凯</v>
      </c>
      <c r="D80" s="5" t="str">
        <f>"男"</f>
        <v>男</v>
      </c>
      <c r="E80" s="5" t="str">
        <f>"计算机科学与技术"</f>
        <v>计算机科学与技术</v>
      </c>
      <c r="F80" s="5" t="str">
        <f>"2023"</f>
        <v>2023</v>
      </c>
      <c r="G80" s="5" t="str">
        <f>"人工智能与现代科技"</f>
        <v>人工智能与现代科技</v>
      </c>
      <c r="H80" s="5" t="str">
        <f>"通识基础课"</f>
        <v>通识基础课</v>
      </c>
      <c r="I80" s="5" t="str">
        <f>"周五第3，4节{第1-17周}"</f>
        <v>周五第3，4节{第1-17周}</v>
      </c>
      <c r="J80" s="5" t="str">
        <f>"计算机与人工智能学院"</f>
        <v>计算机与人工智能学院</v>
      </c>
      <c r="K80" s="5" t="str">
        <f>"黄士罗"</f>
        <v>黄士罗</v>
      </c>
    </row>
    <row r="81" ht="48" spans="1:11">
      <c r="A81" s="6">
        <v>79</v>
      </c>
      <c r="B81" s="5" t="str">
        <f>"222081202013"</f>
        <v>222081202013</v>
      </c>
      <c r="C81" s="5" t="str">
        <f>"王向坤"</f>
        <v>王向坤</v>
      </c>
      <c r="D81" s="5" t="str">
        <f>"男"</f>
        <v>男</v>
      </c>
      <c r="E81" s="5" t="str">
        <f>"计算机软件与理论"</f>
        <v>计算机软件与理论</v>
      </c>
      <c r="F81" s="5" t="str">
        <f>"2022"</f>
        <v>2022</v>
      </c>
      <c r="G81" s="5" t="str">
        <f>"人工智能与现代科技"</f>
        <v>人工智能与现代科技</v>
      </c>
      <c r="H81" s="5" t="str">
        <f>"通识基础课"</f>
        <v>通识基础课</v>
      </c>
      <c r="I81" s="5" t="str">
        <f>"周四第8，9节{第1-17周}"</f>
        <v>周四第8，9节{第1-17周}</v>
      </c>
      <c r="J81" s="5" t="str">
        <f>"计算机与人工智能学院"</f>
        <v>计算机与人工智能学院</v>
      </c>
      <c r="K81" s="5" t="str">
        <f>"杨山田"</f>
        <v>杨山田</v>
      </c>
    </row>
    <row r="82" ht="48" spans="1:11">
      <c r="A82" s="6">
        <v>80</v>
      </c>
      <c r="B82" s="5" t="str">
        <f>"1230701Z1005"</f>
        <v>1230701Z1005</v>
      </c>
      <c r="C82" s="5" t="str">
        <f>"潘超凡"</f>
        <v>潘超凡</v>
      </c>
      <c r="D82" s="5" t="str">
        <f>"男"</f>
        <v>男</v>
      </c>
      <c r="E82" s="5" t="str">
        <f>"人工智能理论与应用"</f>
        <v>人工智能理论与应用</v>
      </c>
      <c r="F82" s="5" t="str">
        <f>"2023"</f>
        <v>2023</v>
      </c>
      <c r="G82" s="5" t="str">
        <f>"人工智能与现代科技"</f>
        <v>人工智能与现代科技</v>
      </c>
      <c r="H82" s="5" t="str">
        <f>"通识基础课"</f>
        <v>通识基础课</v>
      </c>
      <c r="I82" s="5" t="str">
        <f>"周一第8，9节{第1-17周}"</f>
        <v>周一第8，9节{第1-17周}</v>
      </c>
      <c r="J82" s="5" t="str">
        <f>"计算机与人工智能学院"</f>
        <v>计算机与人工智能学院</v>
      </c>
      <c r="K82" s="5" t="str">
        <f>"欧阳小草"</f>
        <v>欧阳小草</v>
      </c>
    </row>
    <row r="83" ht="48" spans="1:11">
      <c r="A83" s="6">
        <v>81</v>
      </c>
      <c r="B83" s="5" t="str">
        <f>"1230701Z1003"</f>
        <v>1230701Z1003</v>
      </c>
      <c r="C83" s="5" t="str">
        <f>"曹雪梅"</f>
        <v>曹雪梅</v>
      </c>
      <c r="D83" s="5" t="str">
        <f>"女"</f>
        <v>女</v>
      </c>
      <c r="E83" s="5" t="str">
        <f>"人工智能理论与应用"</f>
        <v>人工智能理论与应用</v>
      </c>
      <c r="F83" s="5" t="str">
        <f>"2023"</f>
        <v>2023</v>
      </c>
      <c r="G83" s="5" t="str">
        <f>"人工智能与现代科技"</f>
        <v>人工智能与现代科技</v>
      </c>
      <c r="H83" s="5" t="str">
        <f>"通识基础课"</f>
        <v>通识基础课</v>
      </c>
      <c r="I83" s="5" t="str">
        <f>"周三第1，2节{第1-17周}"</f>
        <v>周三第1，2节{第1-17周}</v>
      </c>
      <c r="J83" s="5" t="str">
        <f>"计算机与人工智能学院"</f>
        <v>计算机与人工智能学院</v>
      </c>
      <c r="K83" s="5" t="str">
        <f>"欧阳小草"</f>
        <v>欧阳小草</v>
      </c>
    </row>
    <row r="84" ht="48" spans="1:11">
      <c r="A84" s="6">
        <v>82</v>
      </c>
      <c r="B84" s="5" t="str">
        <f>"1221202Z3001"</f>
        <v>1221202Z3001</v>
      </c>
      <c r="C84" s="5" t="str">
        <f>"陈乐行"</f>
        <v>陈乐行</v>
      </c>
      <c r="D84" s="5" t="str">
        <f>"男"</f>
        <v>男</v>
      </c>
      <c r="E84" s="5" t="str">
        <f>"经济信息技术及管理"</f>
        <v>经济信息技术及管理</v>
      </c>
      <c r="F84" s="5" t="str">
        <f>"2022"</f>
        <v>2022</v>
      </c>
      <c r="G84" s="5" t="str">
        <f>"计算机与大数据基础"</f>
        <v>计算机与大数据基础</v>
      </c>
      <c r="H84" s="5" t="str">
        <f>"通识核心课"</f>
        <v>通识核心课</v>
      </c>
      <c r="I84" s="5" t="str">
        <f>"周四第1，2节{第1-17周}"</f>
        <v>周四第1，2节{第1-17周}</v>
      </c>
      <c r="J84" s="5" t="str">
        <f>"计算机与人工智能学院"</f>
        <v>计算机与人工智能学院</v>
      </c>
      <c r="K84" s="5" t="str">
        <f>"邓烨"</f>
        <v>邓烨</v>
      </c>
    </row>
    <row r="85" ht="84" spans="1:11">
      <c r="A85" s="6">
        <v>83</v>
      </c>
      <c r="B85" s="5" t="str">
        <f>"223081200016"</f>
        <v>223081200016</v>
      </c>
      <c r="C85" s="5" t="str">
        <f>"魏儒"</f>
        <v>魏儒</v>
      </c>
      <c r="D85" s="5" t="str">
        <f>"男"</f>
        <v>男</v>
      </c>
      <c r="E85" s="5" t="str">
        <f>"计算机科学与技术"</f>
        <v>计算机科学与技术</v>
      </c>
      <c r="F85" s="5" t="str">
        <f>"2023"</f>
        <v>2023</v>
      </c>
      <c r="G85" s="5" t="str">
        <f>"程序设计（C语言）"</f>
        <v>程序设计（C语言）</v>
      </c>
      <c r="H85" s="5" t="str">
        <f>"通识基础课"</f>
        <v>通识基础课</v>
      </c>
      <c r="I85" s="5" t="str">
        <f>"周一第1，2节{第1-17周}，周一第3节{第1-17周}"</f>
        <v>周一第1，2节{第1-17周}，周一第3节{第1-17周}</v>
      </c>
      <c r="J85" s="5" t="str">
        <f>"计算机与人工智能学院"</f>
        <v>计算机与人工智能学院</v>
      </c>
      <c r="K85" s="5" t="str">
        <f>"蔡庆"</f>
        <v>蔡庆</v>
      </c>
    </row>
    <row r="86" ht="84" spans="1:11">
      <c r="A86" s="6">
        <v>84</v>
      </c>
      <c r="B86" s="5" t="str">
        <f>"223081200004"</f>
        <v>223081200004</v>
      </c>
      <c r="C86" s="5" t="str">
        <f>"刘银峰"</f>
        <v>刘银峰</v>
      </c>
      <c r="D86" s="5" t="str">
        <f>"男"</f>
        <v>男</v>
      </c>
      <c r="E86" s="5" t="str">
        <f>"计算机科学与技术"</f>
        <v>计算机科学与技术</v>
      </c>
      <c r="F86" s="5" t="str">
        <f>"2023"</f>
        <v>2023</v>
      </c>
      <c r="G86" s="5" t="str">
        <f>"数据结构（英）"</f>
        <v>数据结构（英）</v>
      </c>
      <c r="H86" s="5" t="str">
        <f>"专业必修课"</f>
        <v>专业必修课</v>
      </c>
      <c r="I86" s="5" t="str">
        <f>"周三第5，6节{第1-17周}，周三第7节{第1-17周}"</f>
        <v>周三第5，6节{第1-17周}，周三第7节{第1-17周}</v>
      </c>
      <c r="J86" s="5" t="str">
        <f>"计算机与人工智能学院"</f>
        <v>计算机与人工智能学院</v>
      </c>
      <c r="K86" s="5" t="str">
        <f>"陈中普"</f>
        <v>陈中普</v>
      </c>
    </row>
    <row r="87" ht="48" spans="1:11">
      <c r="A87" s="6">
        <v>85</v>
      </c>
      <c r="B87" s="5" t="str">
        <f>"1230701Z1006"</f>
        <v>1230701Z1006</v>
      </c>
      <c r="C87" s="5" t="str">
        <f>"陶然"</f>
        <v>陶然</v>
      </c>
      <c r="D87" s="5" t="str">
        <f>"男"</f>
        <v>男</v>
      </c>
      <c r="E87" s="5" t="str">
        <f>"人工智能理论与应用"</f>
        <v>人工智能理论与应用</v>
      </c>
      <c r="F87" s="5" t="str">
        <f>"2023"</f>
        <v>2023</v>
      </c>
      <c r="G87" s="5" t="str">
        <f>"编译原理"</f>
        <v>编译原理</v>
      </c>
      <c r="H87" s="5" t="str">
        <f>"专业必修课"</f>
        <v>专业必修课</v>
      </c>
      <c r="I87" s="5" t="str">
        <f>"周一第10，11，12节{第1-17周}"</f>
        <v>周一第10，11，12节{第1-17周}</v>
      </c>
      <c r="J87" s="5" t="str">
        <f>"计算机与人工智能学院"</f>
        <v>计算机与人工智能学院</v>
      </c>
      <c r="K87" s="5" t="str">
        <f>"黄鹂"</f>
        <v>黄鹂</v>
      </c>
    </row>
    <row r="88" ht="84" spans="1:11">
      <c r="A88" s="6">
        <v>86</v>
      </c>
      <c r="B88" s="5" t="str">
        <f>"1230701Z1001"</f>
        <v>1230701Z1001</v>
      </c>
      <c r="C88" s="5" t="str">
        <f>"李爱民"</f>
        <v>李爱民</v>
      </c>
      <c r="D88" s="5" t="str">
        <f>"男"</f>
        <v>男</v>
      </c>
      <c r="E88" s="5" t="str">
        <f>"人工智能理论与应用"</f>
        <v>人工智能理论与应用</v>
      </c>
      <c r="F88" s="5" t="str">
        <f>"2023"</f>
        <v>2023</v>
      </c>
      <c r="G88" s="5" t="str">
        <f>"最优化方法"</f>
        <v>最优化方法</v>
      </c>
      <c r="H88" s="5" t="str">
        <f>"专业方向课"</f>
        <v>专业方向课</v>
      </c>
      <c r="I88" s="5" t="str">
        <f>"周三第7节{第1-17周}，周三第8，9节{第1-17周}"</f>
        <v>周三第7节{第1-17周}，周三第8，9节{第1-17周}</v>
      </c>
      <c r="J88" s="5" t="str">
        <f>"计算机与人工智能学院"</f>
        <v>计算机与人工智能学院</v>
      </c>
      <c r="K88" s="5" t="str">
        <f>"黄迟"</f>
        <v>黄迟</v>
      </c>
    </row>
    <row r="89" ht="24" spans="1:11">
      <c r="A89" s="6">
        <v>87</v>
      </c>
      <c r="B89" s="5" t="str">
        <f>"2220202Z7020"</f>
        <v>2220202Z7020</v>
      </c>
      <c r="C89" s="5" t="str">
        <f>"国吉帅"</f>
        <v>国吉帅</v>
      </c>
      <c r="D89" s="5" t="str">
        <f>"男"</f>
        <v>男</v>
      </c>
      <c r="E89" s="5" t="str">
        <f>"保险学"</f>
        <v>保险学</v>
      </c>
      <c r="F89" s="5" t="str">
        <f>"2022"</f>
        <v>2022</v>
      </c>
      <c r="G89" s="5" t="str">
        <f>"保险合同法MOOC"</f>
        <v>保险合同法MOOC</v>
      </c>
      <c r="H89" s="5" t="str">
        <f>"慕课"</f>
        <v>慕课</v>
      </c>
      <c r="I89" s="5" t="str">
        <f>"2024年9-12月"</f>
        <v>2024年9-12月</v>
      </c>
      <c r="J89" s="5" t="str">
        <f>"金融学院"</f>
        <v>金融学院</v>
      </c>
      <c r="K89" s="5" t="str">
        <f>"王伊琳"</f>
        <v>王伊琳</v>
      </c>
    </row>
    <row r="90" ht="48" spans="1:11">
      <c r="A90" s="6">
        <v>88</v>
      </c>
      <c r="B90" s="5" t="str">
        <f>"222020204135"</f>
        <v>222020204135</v>
      </c>
      <c r="C90" s="5" t="str">
        <f>"杨凯凡"</f>
        <v>杨凯凡</v>
      </c>
      <c r="D90" s="5" t="str">
        <f>"男"</f>
        <v>男</v>
      </c>
      <c r="E90" s="5" t="str">
        <f>"金融学"</f>
        <v>金融学</v>
      </c>
      <c r="F90" s="5" t="str">
        <f>"2022"</f>
        <v>2022</v>
      </c>
      <c r="G90" s="5" t="str">
        <f>"货币金融学"</f>
        <v>货币金融学</v>
      </c>
      <c r="H90" s="5" t="str">
        <f>"大学科基础课"</f>
        <v>大学科基础课</v>
      </c>
      <c r="I90" s="5" t="str">
        <f>"周三第10，11，12节{第1-17周}"</f>
        <v>周三第10，11，12节{第1-17周}</v>
      </c>
      <c r="J90" s="5" t="str">
        <f>"金融学院"</f>
        <v>金融学院</v>
      </c>
      <c r="K90" s="5" t="str">
        <f>"董青马"</f>
        <v>董青马</v>
      </c>
    </row>
    <row r="91" ht="24" spans="1:11">
      <c r="A91" s="6">
        <v>89</v>
      </c>
      <c r="B91" s="5" t="str">
        <f>"223020204051"</f>
        <v>223020204051</v>
      </c>
      <c r="C91" s="5" t="str">
        <f>"王雨"</f>
        <v>王雨</v>
      </c>
      <c r="D91" s="5" t="str">
        <f>"女"</f>
        <v>女</v>
      </c>
      <c r="E91" s="5" t="str">
        <f>"金融学"</f>
        <v>金融学</v>
      </c>
      <c r="F91" s="5" t="str">
        <f>"2023"</f>
        <v>2023</v>
      </c>
      <c r="G91" s="5" t="str">
        <f>"普惠金融MOOC"</f>
        <v>普惠金融MOOC</v>
      </c>
      <c r="H91" s="5" t="str">
        <f>"慕课"</f>
        <v>慕课</v>
      </c>
      <c r="I91" s="5" t="str">
        <f>"2024年9-12月"</f>
        <v>2024年9-12月</v>
      </c>
      <c r="J91" s="5" t="str">
        <f>"金融学院"</f>
        <v>金融学院</v>
      </c>
      <c r="K91" s="5" t="str">
        <f>"张晓玫"</f>
        <v>张晓玫</v>
      </c>
    </row>
    <row r="92" ht="24" spans="1:11">
      <c r="A92" s="6">
        <v>90</v>
      </c>
      <c r="B92" s="5" t="str">
        <f>"223025100199"</f>
        <v>223025100199</v>
      </c>
      <c r="C92" s="5" t="str">
        <f>"王思哲"</f>
        <v>王思哲</v>
      </c>
      <c r="D92" s="5" t="str">
        <f>"女"</f>
        <v>女</v>
      </c>
      <c r="E92" s="5" t="str">
        <f>"金融"</f>
        <v>金融</v>
      </c>
      <c r="F92" s="5" t="str">
        <f>"2023"</f>
        <v>2023</v>
      </c>
      <c r="G92" s="5" t="str">
        <f>"货币金融学"</f>
        <v>货币金融学</v>
      </c>
      <c r="H92" s="5" t="str">
        <f>"专业必修课"</f>
        <v>专业必修课</v>
      </c>
      <c r="I92" s="5" t="str">
        <f>""</f>
        <v/>
      </c>
      <c r="J92" s="5" t="str">
        <f>"金融学院"</f>
        <v>金融学院</v>
      </c>
      <c r="K92" s="5" t="str">
        <f>"欧阳勇"</f>
        <v>欧阳勇</v>
      </c>
    </row>
    <row r="93" ht="48" spans="1:11">
      <c r="A93" s="6">
        <v>91</v>
      </c>
      <c r="B93" s="5" t="str">
        <f>"121020204044"</f>
        <v>121020204044</v>
      </c>
      <c r="C93" s="5" t="str">
        <f>"刘明昊"</f>
        <v>刘明昊</v>
      </c>
      <c r="D93" s="5" t="str">
        <f>"男"</f>
        <v>男</v>
      </c>
      <c r="E93" s="5" t="str">
        <f>"金融学"</f>
        <v>金融学</v>
      </c>
      <c r="F93" s="5" t="str">
        <f>"2021"</f>
        <v>2021</v>
      </c>
      <c r="G93" s="5" t="str">
        <f>"货币金融学"</f>
        <v>货币金融学</v>
      </c>
      <c r="H93" s="5" t="str">
        <f>"大学科基础课"</f>
        <v>大学科基础课</v>
      </c>
      <c r="I93" s="5" t="str">
        <f>"周三第10，11，12节{第1-17周}"</f>
        <v>周三第10，11，12节{第1-17周}</v>
      </c>
      <c r="J93" s="5" t="str">
        <f>"金融学院"</f>
        <v>金融学院</v>
      </c>
      <c r="K93" s="5" t="str">
        <f>"许坤"</f>
        <v>许坤</v>
      </c>
    </row>
    <row r="94" ht="84" spans="1:11">
      <c r="A94" s="6">
        <v>92</v>
      </c>
      <c r="B94" s="5" t="str">
        <f>"1220202Z2001"</f>
        <v>1220202Z2001</v>
      </c>
      <c r="C94" s="5" t="str">
        <f>"张雨菲"</f>
        <v>张雨菲</v>
      </c>
      <c r="D94" s="5" t="str">
        <f>"女"</f>
        <v>女</v>
      </c>
      <c r="E94" s="5" t="str">
        <f>"金融工程"</f>
        <v>金融工程</v>
      </c>
      <c r="F94" s="5" t="str">
        <f>"2022"</f>
        <v>2022</v>
      </c>
      <c r="G94" s="5" t="str">
        <f>"货币金融学"</f>
        <v>货币金融学</v>
      </c>
      <c r="H94" s="5" t="str">
        <f>"大学科基础课"</f>
        <v>大学科基础课</v>
      </c>
      <c r="I94" s="5" t="str">
        <f>"周一第5，6节{第1-17周}，周一第7节{第1-17周}"</f>
        <v>周一第5，6节{第1-17周}，周一第7节{第1-17周}</v>
      </c>
      <c r="J94" s="5" t="str">
        <f>"金融学院"</f>
        <v>金融学院</v>
      </c>
      <c r="K94" s="5" t="str">
        <f>"戴艳萍"</f>
        <v>戴艳萍</v>
      </c>
    </row>
    <row r="95" ht="36" spans="1:11">
      <c r="A95" s="6">
        <v>93</v>
      </c>
      <c r="B95" s="5" t="str">
        <f>"123020204010"</f>
        <v>123020204010</v>
      </c>
      <c r="C95" s="5" t="str">
        <f>"刘雅萱"</f>
        <v>刘雅萱</v>
      </c>
      <c r="D95" s="5" t="str">
        <f>"女"</f>
        <v>女</v>
      </c>
      <c r="E95" s="5" t="str">
        <f>"金融学"</f>
        <v>金融学</v>
      </c>
      <c r="F95" s="5" t="str">
        <f>"2023"</f>
        <v>2023</v>
      </c>
      <c r="G95" s="5" t="str">
        <f>"R语言与金融数据挖掘MOOC"</f>
        <v>R语言与金融数据挖掘MOOC</v>
      </c>
      <c r="H95" s="5" t="str">
        <f>"慕课"</f>
        <v>慕课</v>
      </c>
      <c r="I95" s="5" t="str">
        <f>"2024年9-12月"</f>
        <v>2024年9-12月</v>
      </c>
      <c r="J95" s="5" t="str">
        <f>"金融学院"</f>
        <v>金融学院</v>
      </c>
      <c r="K95" s="5" t="str">
        <f>"申宇"</f>
        <v>申宇</v>
      </c>
    </row>
    <row r="96" ht="24" spans="1:11">
      <c r="A96" s="6">
        <v>94</v>
      </c>
      <c r="B96" s="5" t="str">
        <f>"223020204025"</f>
        <v>223020204025</v>
      </c>
      <c r="C96" s="5" t="str">
        <f>"吴小红"</f>
        <v>吴小红</v>
      </c>
      <c r="D96" s="5" t="str">
        <f>"女"</f>
        <v>女</v>
      </c>
      <c r="E96" s="5" t="str">
        <f>"金融学"</f>
        <v>金融学</v>
      </c>
      <c r="F96" s="5" t="str">
        <f>"2023"</f>
        <v>2023</v>
      </c>
      <c r="G96" s="5" t="str">
        <f>"投资学MOOC"</f>
        <v>投资学MOOC</v>
      </c>
      <c r="H96" s="5" t="str">
        <f>"慕课"</f>
        <v>慕课</v>
      </c>
      <c r="I96" s="5" t="str">
        <f>"2024年9-12月"</f>
        <v>2024年9-12月</v>
      </c>
      <c r="J96" s="5" t="str">
        <f>"金融学院"</f>
        <v>金融学院</v>
      </c>
      <c r="K96" s="5" t="str">
        <f>"夏潆焱"</f>
        <v>夏潆焱</v>
      </c>
    </row>
    <row r="97" ht="48" spans="1:11">
      <c r="A97" s="6">
        <v>95</v>
      </c>
      <c r="B97" s="5" t="str">
        <f>"1230202Z2008"</f>
        <v>1230202Z2008</v>
      </c>
      <c r="C97" s="5" t="str">
        <f>"宋灏彦"</f>
        <v>宋灏彦</v>
      </c>
      <c r="D97" s="5" t="str">
        <f>"男"</f>
        <v>男</v>
      </c>
      <c r="E97" s="5" t="str">
        <f>"金融工程"</f>
        <v>金融工程</v>
      </c>
      <c r="F97" s="5" t="str">
        <f>"2023"</f>
        <v>2023</v>
      </c>
      <c r="G97" s="5" t="str">
        <f>"货币金融学"</f>
        <v>货币金融学</v>
      </c>
      <c r="H97" s="5" t="str">
        <f>"大学科基础课"</f>
        <v>大学科基础课</v>
      </c>
      <c r="I97" s="5" t="str">
        <f>"周一第10，11，12节{第1-17周}"</f>
        <v>周一第10，11，12节{第1-17周}</v>
      </c>
      <c r="J97" s="5" t="str">
        <f>"金融学院"</f>
        <v>金融学院</v>
      </c>
      <c r="K97" s="5" t="str">
        <f>"戴艳萍"</f>
        <v>戴艳萍</v>
      </c>
    </row>
    <row r="98" ht="48" spans="1:11">
      <c r="A98" s="6">
        <v>96</v>
      </c>
      <c r="B98" s="5" t="str">
        <f>"222020204003"</f>
        <v>222020204003</v>
      </c>
      <c r="C98" s="5" t="str">
        <f>"朱文乐"</f>
        <v>朱文乐</v>
      </c>
      <c r="D98" s="5" t="str">
        <f>"女"</f>
        <v>女</v>
      </c>
      <c r="E98" s="5" t="str">
        <f>"金融学"</f>
        <v>金融学</v>
      </c>
      <c r="F98" s="5" t="str">
        <f>"2022"</f>
        <v>2022</v>
      </c>
      <c r="G98" s="5" t="str">
        <f>"货币金融学"</f>
        <v>货币金融学</v>
      </c>
      <c r="H98" s="5" t="str">
        <f>"大学科基础课"</f>
        <v>大学科基础课</v>
      </c>
      <c r="I98" s="5" t="str">
        <f>"周一第10，11，12节{第1-17周}"</f>
        <v>周一第10，11，12节{第1-17周}</v>
      </c>
      <c r="J98" s="5" t="str">
        <f>"金融学院"</f>
        <v>金融学院</v>
      </c>
      <c r="K98" s="5" t="str">
        <f>"周丽晖"</f>
        <v>周丽晖</v>
      </c>
    </row>
    <row r="99" ht="36" spans="1:11">
      <c r="A99" s="6">
        <v>97</v>
      </c>
      <c r="B99" s="5" t="str">
        <f>"123020204012"</f>
        <v>123020204012</v>
      </c>
      <c r="C99" s="5" t="str">
        <f>"黄沁缘"</f>
        <v>黄沁缘</v>
      </c>
      <c r="D99" s="5" t="str">
        <f>"女"</f>
        <v>女</v>
      </c>
      <c r="E99" s="5" t="str">
        <f>"金融学"</f>
        <v>金融学</v>
      </c>
      <c r="F99" s="5" t="str">
        <f>"2023"</f>
        <v>2023</v>
      </c>
      <c r="G99" s="5" t="str">
        <f>"大数据与财富管理概论MOOC"</f>
        <v>大数据与财富管理概论MOOC</v>
      </c>
      <c r="H99" s="5" t="str">
        <f>"慕课"</f>
        <v>慕课</v>
      </c>
      <c r="I99" s="5" t="str">
        <f>"2024年9-12月"</f>
        <v>2024年9-12月</v>
      </c>
      <c r="J99" s="5" t="str">
        <f>"金融学院"</f>
        <v>金融学院</v>
      </c>
      <c r="K99" s="5" t="str">
        <f>"蔡栋梁"</f>
        <v>蔡栋梁</v>
      </c>
    </row>
    <row r="100" ht="48" spans="1:11">
      <c r="A100" s="6">
        <v>98</v>
      </c>
      <c r="B100" s="5" t="str">
        <f>"223020204027"</f>
        <v>223020204027</v>
      </c>
      <c r="C100" s="5" t="str">
        <f>"刘雨欣"</f>
        <v>刘雨欣</v>
      </c>
      <c r="D100" s="5" t="str">
        <f>"女"</f>
        <v>女</v>
      </c>
      <c r="E100" s="5" t="str">
        <f>"金融学"</f>
        <v>金融学</v>
      </c>
      <c r="F100" s="5" t="str">
        <f>"2023"</f>
        <v>2023</v>
      </c>
      <c r="G100" s="5" t="str">
        <f>"货币金融学"</f>
        <v>货币金融学</v>
      </c>
      <c r="H100" s="5" t="str">
        <f>"大学科基础课"</f>
        <v>大学科基础课</v>
      </c>
      <c r="I100" s="5" t="str">
        <f>"周二第10，11，12节{第1-17周}"</f>
        <v>周二第10，11，12节{第1-17周}</v>
      </c>
      <c r="J100" s="5" t="str">
        <f>"金融学院"</f>
        <v>金融学院</v>
      </c>
      <c r="K100" s="5" t="str">
        <f>"陈懋龙"</f>
        <v>陈懋龙</v>
      </c>
    </row>
    <row r="101" ht="24" spans="1:11">
      <c r="A101" s="6">
        <v>99</v>
      </c>
      <c r="B101" s="5" t="str">
        <f>"223020204068"</f>
        <v>223020204068</v>
      </c>
      <c r="C101" s="5" t="str">
        <f>"苏楷娟"</f>
        <v>苏楷娟</v>
      </c>
      <c r="D101" s="5" t="str">
        <f>"女"</f>
        <v>女</v>
      </c>
      <c r="E101" s="5" t="str">
        <f>"金融学"</f>
        <v>金融学</v>
      </c>
      <c r="F101" s="5" t="str">
        <f>"2023"</f>
        <v>2023</v>
      </c>
      <c r="G101" s="5" t="str">
        <f>"公司金融学MOOC"</f>
        <v>公司金融学MOOC</v>
      </c>
      <c r="H101" s="5" t="str">
        <f>"慕课"</f>
        <v>慕课</v>
      </c>
      <c r="I101" s="5" t="str">
        <f>"2024年9-12月"</f>
        <v>2024年9-12月</v>
      </c>
      <c r="J101" s="5" t="str">
        <f>"金融学院"</f>
        <v>金融学院</v>
      </c>
      <c r="K101" s="5" t="str">
        <f>"许志"</f>
        <v>许志</v>
      </c>
    </row>
    <row r="102" ht="84" spans="1:11">
      <c r="A102" s="6">
        <v>100</v>
      </c>
      <c r="B102" s="5" t="str">
        <f>"123020204026"</f>
        <v>123020204026</v>
      </c>
      <c r="C102" s="5" t="str">
        <f>"高圣婷"</f>
        <v>高圣婷</v>
      </c>
      <c r="D102" s="5" t="str">
        <f>"女"</f>
        <v>女</v>
      </c>
      <c r="E102" s="5" t="str">
        <f>"金融学"</f>
        <v>金融学</v>
      </c>
      <c r="F102" s="5" t="str">
        <f>"2023"</f>
        <v>2023</v>
      </c>
      <c r="G102" s="5" t="str">
        <f>"宏观经济学"</f>
        <v>宏观经济学</v>
      </c>
      <c r="H102" s="5" t="str">
        <f>"大学科基础课"</f>
        <v>大学科基础课</v>
      </c>
      <c r="I102" s="5" t="str">
        <f>"周三第5，6节{第1-17周}，周三第7节{第1-17周}"</f>
        <v>周三第5，6节{第1-17周}，周三第7节{第1-17周}</v>
      </c>
      <c r="J102" s="5" t="str">
        <f>"金融学院"</f>
        <v>金融学院</v>
      </c>
      <c r="K102" s="5" t="str">
        <f>"张博"</f>
        <v>张博</v>
      </c>
    </row>
    <row r="103" ht="48" spans="1:11">
      <c r="A103" s="6">
        <v>101</v>
      </c>
      <c r="B103" s="5" t="str">
        <f>"222020204054"</f>
        <v>222020204054</v>
      </c>
      <c r="C103" s="5" t="str">
        <f>"朱映霖"</f>
        <v>朱映霖</v>
      </c>
      <c r="D103" s="5" t="str">
        <f>"女"</f>
        <v>女</v>
      </c>
      <c r="E103" s="5" t="str">
        <f>"金融学"</f>
        <v>金融学</v>
      </c>
      <c r="F103" s="5" t="str">
        <f>"2022"</f>
        <v>2022</v>
      </c>
      <c r="G103" s="5" t="str">
        <f>"货币金融学"</f>
        <v>货币金融学</v>
      </c>
      <c r="H103" s="5" t="str">
        <f>"专业必修课"</f>
        <v>专业必修课</v>
      </c>
      <c r="I103" s="5" t="str">
        <f>"周三第10，11，12节{第1-17周}"</f>
        <v>周三第10，11，12节{第1-17周}</v>
      </c>
      <c r="J103" s="5" t="str">
        <f>"金融学院"</f>
        <v>金融学院</v>
      </c>
      <c r="K103" s="5" t="str">
        <f>"戴艳萍"</f>
        <v>戴艳萍</v>
      </c>
    </row>
    <row r="104" ht="48" spans="1:11">
      <c r="A104" s="6">
        <v>102</v>
      </c>
      <c r="B104" s="5" t="str">
        <f>"223020204031"</f>
        <v>223020204031</v>
      </c>
      <c r="C104" s="5" t="str">
        <f>"肖德荣"</f>
        <v>肖德荣</v>
      </c>
      <c r="D104" s="5" t="str">
        <f>"女"</f>
        <v>女</v>
      </c>
      <c r="E104" s="5" t="str">
        <f>"金融学"</f>
        <v>金融学</v>
      </c>
      <c r="F104" s="5" t="str">
        <f>"2023"</f>
        <v>2023</v>
      </c>
      <c r="G104" s="5" t="str">
        <f>"Corporate FinanceMOOC"</f>
        <v>Corporate FinanceMOOC</v>
      </c>
      <c r="H104" s="5" t="str">
        <f>"慕课"</f>
        <v>慕课</v>
      </c>
      <c r="I104" s="5" t="str">
        <f>"2024年9-12月"</f>
        <v>2024年9-12月</v>
      </c>
      <c r="J104" s="5" t="str">
        <f>"金融学院"</f>
        <v>金融学院</v>
      </c>
      <c r="K104" s="5" t="str">
        <f>"许志"</f>
        <v>许志</v>
      </c>
    </row>
    <row r="105" ht="24" spans="1:11">
      <c r="A105" s="6">
        <v>103</v>
      </c>
      <c r="B105" s="5" t="str">
        <f>"1230202Z7005"</f>
        <v>1230202Z7005</v>
      </c>
      <c r="C105" s="5" t="str">
        <f>"任家慧"</f>
        <v>任家慧</v>
      </c>
      <c r="D105" s="5" t="str">
        <f>"女"</f>
        <v>女</v>
      </c>
      <c r="E105" s="5" t="str">
        <f>"保险学"</f>
        <v>保险学</v>
      </c>
      <c r="F105" s="5" t="str">
        <f>"2023"</f>
        <v>2023</v>
      </c>
      <c r="G105" s="5" t="str">
        <f>"保险财务会计"</f>
        <v>保险财务会计</v>
      </c>
      <c r="H105" s="5" t="str">
        <f>"慕课"</f>
        <v>慕课</v>
      </c>
      <c r="I105" s="5" t="str">
        <f>"2024年9-12月"</f>
        <v>2024年9-12月</v>
      </c>
      <c r="J105" s="5" t="str">
        <f>"金融学院"</f>
        <v>金融学院</v>
      </c>
      <c r="K105" s="5" t="str">
        <f>"李洪"</f>
        <v>李洪</v>
      </c>
    </row>
    <row r="106" ht="84" spans="1:11">
      <c r="A106" s="6">
        <v>104</v>
      </c>
      <c r="B106" s="5" t="str">
        <f>"122020204021"</f>
        <v>122020204021</v>
      </c>
      <c r="C106" s="5" t="str">
        <f>"罗姝"</f>
        <v>罗姝</v>
      </c>
      <c r="D106" s="5" t="str">
        <f>"女"</f>
        <v>女</v>
      </c>
      <c r="E106" s="5" t="str">
        <f>"金融学"</f>
        <v>金融学</v>
      </c>
      <c r="F106" s="5" t="str">
        <f>"2022"</f>
        <v>2022</v>
      </c>
      <c r="G106" s="5" t="str">
        <f>"货币金融学"</f>
        <v>货币金融学</v>
      </c>
      <c r="H106" s="5" t="str">
        <f>"大学科基础课"</f>
        <v>大学科基础课</v>
      </c>
      <c r="I106" s="5" t="str">
        <f>"周三第5，6节{第1-17周}，周三第7节{第1-17周}"</f>
        <v>周三第5，6节{第1-17周}，周三第7节{第1-17周}</v>
      </c>
      <c r="J106" s="5" t="str">
        <f>"金融学院"</f>
        <v>金融学院</v>
      </c>
      <c r="K106" s="5" t="str">
        <f>"尚玉皇"</f>
        <v>尚玉皇</v>
      </c>
    </row>
    <row r="107" ht="84" spans="1:11">
      <c r="A107" s="6">
        <v>105</v>
      </c>
      <c r="B107" s="5" t="str">
        <f>"2230202J9002"</f>
        <v>2230202J9002</v>
      </c>
      <c r="C107" s="5" t="str">
        <f>"雷娅南"</f>
        <v>雷娅南</v>
      </c>
      <c r="D107" s="5" t="str">
        <f>"女"</f>
        <v>女</v>
      </c>
      <c r="E107" s="5" t="str">
        <f>"财富管理"</f>
        <v>财富管理</v>
      </c>
      <c r="F107" s="5" t="str">
        <f>"2023"</f>
        <v>2023</v>
      </c>
      <c r="G107" s="5" t="str">
        <f>"货币金融学"</f>
        <v>货币金融学</v>
      </c>
      <c r="H107" s="5" t="str">
        <f>"大学科基础课"</f>
        <v>大学科基础课</v>
      </c>
      <c r="I107" s="5" t="str">
        <f>"周一第5，6节{第1-17周}，周一第7节{第1-17周}"</f>
        <v>周一第5，6节{第1-17周}，周一第7节{第1-17周}</v>
      </c>
      <c r="J107" s="5" t="str">
        <f>"金融学院"</f>
        <v>金融学院</v>
      </c>
      <c r="K107" s="5" t="str">
        <f>"周丽晖"</f>
        <v>周丽晖</v>
      </c>
    </row>
    <row r="108" ht="48" spans="1:11">
      <c r="A108" s="6">
        <v>106</v>
      </c>
      <c r="B108" s="5" t="str">
        <f>"222020104002"</f>
        <v>222020104002</v>
      </c>
      <c r="C108" s="5" t="str">
        <f>"张安琪"</f>
        <v>张安琪</v>
      </c>
      <c r="D108" s="5" t="str">
        <f>"女"</f>
        <v>女</v>
      </c>
      <c r="E108" s="5" t="str">
        <f>"西方经济学"</f>
        <v>西方经济学</v>
      </c>
      <c r="F108" s="5" t="str">
        <f>"2022"</f>
        <v>2022</v>
      </c>
      <c r="G108" s="5" t="str">
        <f>"微观经济学"</f>
        <v>微观经济学</v>
      </c>
      <c r="H108" s="5" t="str">
        <f>"大学科基础课"</f>
        <v>大学科基础课</v>
      </c>
      <c r="I108" s="5" t="str">
        <f>"周三第10，11，12节{第1-17周}"</f>
        <v>周三第10，11，12节{第1-17周}</v>
      </c>
      <c r="J108" s="5" t="str">
        <f>"经济学院"</f>
        <v>经济学院</v>
      </c>
      <c r="K108" s="5" t="str">
        <f>"李毅"</f>
        <v>李毅</v>
      </c>
    </row>
    <row r="109" ht="48" spans="1:11">
      <c r="A109" s="6">
        <v>107</v>
      </c>
      <c r="B109" s="5" t="str">
        <f>"123020104001"</f>
        <v>123020104001</v>
      </c>
      <c r="C109" s="5" t="str">
        <f>"王林林"</f>
        <v>王林林</v>
      </c>
      <c r="D109" s="5" t="str">
        <f>"女"</f>
        <v>女</v>
      </c>
      <c r="E109" s="5" t="str">
        <f>"西方经济学"</f>
        <v>西方经济学</v>
      </c>
      <c r="F109" s="5" t="str">
        <f>"2023"</f>
        <v>2023</v>
      </c>
      <c r="G109" s="5" t="str">
        <f>"大数据与计量经济学"</f>
        <v>大数据与计量经济学</v>
      </c>
      <c r="H109" s="5" t="str">
        <f>"专业必修课"</f>
        <v>专业必修课</v>
      </c>
      <c r="I109" s="5" t="str">
        <f>"周二第10，11，12节{第1-17周}"</f>
        <v>周二第10，11，12节{第1-17周}</v>
      </c>
      <c r="J109" s="5" t="str">
        <f>"经济学院"</f>
        <v>经济学院</v>
      </c>
      <c r="K109" s="5" t="str">
        <f>"徐舒"</f>
        <v>徐舒</v>
      </c>
    </row>
    <row r="110" ht="48" spans="1:11">
      <c r="A110" s="6">
        <v>108</v>
      </c>
      <c r="B110" s="5" t="str">
        <f>"223020104026"</f>
        <v>223020104026</v>
      </c>
      <c r="C110" s="5" t="str">
        <f>"段金霞"</f>
        <v>段金霞</v>
      </c>
      <c r="D110" s="5" t="str">
        <f>"女"</f>
        <v>女</v>
      </c>
      <c r="E110" s="5" t="str">
        <f>"西方经济学"</f>
        <v>西方经济学</v>
      </c>
      <c r="F110" s="5" t="str">
        <f>"2023"</f>
        <v>2023</v>
      </c>
      <c r="G110" s="5" t="str">
        <f>"中级宏观经济学"</f>
        <v>中级宏观经济学</v>
      </c>
      <c r="H110" s="5" t="str">
        <f>"专业方向课"</f>
        <v>专业方向课</v>
      </c>
      <c r="I110" s="5" t="str">
        <f>"周三第10，11，12节{第1-17周}"</f>
        <v>周三第10，11，12节{第1-17周}</v>
      </c>
      <c r="J110" s="5" t="str">
        <f>"经济学院"</f>
        <v>经济学院</v>
      </c>
      <c r="K110" s="5" t="str">
        <f>"曾志远"</f>
        <v>曾志远</v>
      </c>
    </row>
    <row r="111" ht="84" spans="1:11">
      <c r="A111" s="6">
        <v>109</v>
      </c>
      <c r="B111" s="5" t="str">
        <f>"123020104005"</f>
        <v>123020104005</v>
      </c>
      <c r="C111" s="5" t="str">
        <f>"文瑞珏"</f>
        <v>文瑞珏</v>
      </c>
      <c r="D111" s="5" t="str">
        <f>"女"</f>
        <v>女</v>
      </c>
      <c r="E111" s="5" t="str">
        <f>"西方经济学"</f>
        <v>西方经济学</v>
      </c>
      <c r="F111" s="5" t="str">
        <f>"2023"</f>
        <v>2023</v>
      </c>
      <c r="G111" s="5" t="str">
        <f>"宏观经济学"</f>
        <v>宏观经济学</v>
      </c>
      <c r="H111" s="5" t="str">
        <f>"大学科基础课"</f>
        <v>大学科基础课</v>
      </c>
      <c r="I111" s="5" t="str">
        <f>"周一第5，6节{第1-17周}，周一第7节{第1-17周}"</f>
        <v>周一第5，6节{第1-17周}，周一第7节{第1-17周}</v>
      </c>
      <c r="J111" s="5" t="str">
        <f>"经济学院"</f>
        <v>经济学院</v>
      </c>
      <c r="K111" s="5" t="str">
        <f>"肖翰"</f>
        <v>肖翰</v>
      </c>
    </row>
    <row r="112" ht="48" spans="1:11">
      <c r="A112" s="6">
        <v>110</v>
      </c>
      <c r="B112" s="5" t="str">
        <f>"223020104028"</f>
        <v>223020104028</v>
      </c>
      <c r="C112" s="5" t="str">
        <f>"刘雨欣"</f>
        <v>刘雨欣</v>
      </c>
      <c r="D112" s="5" t="str">
        <f>"女"</f>
        <v>女</v>
      </c>
      <c r="E112" s="5" t="str">
        <f>"西方经济学"</f>
        <v>西方经济学</v>
      </c>
      <c r="F112" s="5" t="str">
        <f>"2023"</f>
        <v>2023</v>
      </c>
      <c r="G112" s="5" t="str">
        <f>"宏观经济学"</f>
        <v>宏观经济学</v>
      </c>
      <c r="H112" s="5" t="str">
        <f>"大学科基础课"</f>
        <v>大学科基础课</v>
      </c>
      <c r="I112" s="5" t="str">
        <f>"周二第10，11，12节{第1-17周}"</f>
        <v>周二第10，11，12节{第1-17周}</v>
      </c>
      <c r="J112" s="5" t="str">
        <f>"经济学院"</f>
        <v>经济学院</v>
      </c>
      <c r="K112" s="5" t="str">
        <f>"梁鑫"</f>
        <v>梁鑫</v>
      </c>
    </row>
    <row r="113" ht="84" spans="1:11">
      <c r="A113" s="6">
        <v>111</v>
      </c>
      <c r="B113" s="5" t="str">
        <f>"2230202J5003"</f>
        <v>2230202J5003</v>
      </c>
      <c r="C113" s="5" t="str">
        <f>"蔡安康"</f>
        <v>蔡安康</v>
      </c>
      <c r="D113" s="5" t="str">
        <f>"男"</f>
        <v>男</v>
      </c>
      <c r="E113" s="5" t="str">
        <f>"农业经济学"</f>
        <v>农业经济学</v>
      </c>
      <c r="F113" s="5" t="str">
        <f>"2023"</f>
        <v>2023</v>
      </c>
      <c r="G113" s="5" t="str">
        <f>"微观经济学"</f>
        <v>微观经济学</v>
      </c>
      <c r="H113" s="5" t="str">
        <f>"学科基础课"</f>
        <v>学科基础课</v>
      </c>
      <c r="I113" s="5" t="str">
        <f>"周五第5，6节{第1-17周}，周五第7节{第1-17周}"</f>
        <v>周五第5，6节{第1-17周}，周五第7节{第1-17周}</v>
      </c>
      <c r="J113" s="5" t="str">
        <f>"经济学院"</f>
        <v>经济学院</v>
      </c>
      <c r="K113" s="5" t="str">
        <f>"王雨祥"</f>
        <v>王雨祥</v>
      </c>
    </row>
    <row r="114" ht="48" spans="1:11">
      <c r="A114" s="6">
        <v>112</v>
      </c>
      <c r="B114" s="5" t="str">
        <f>"122020105002"</f>
        <v>122020105002</v>
      </c>
      <c r="C114" s="5" t="str">
        <f>"王誉民"</f>
        <v>王誉民</v>
      </c>
      <c r="D114" s="5" t="str">
        <f>"女"</f>
        <v>女</v>
      </c>
      <c r="E114" s="5" t="str">
        <f>"世界经济"</f>
        <v>世界经济</v>
      </c>
      <c r="F114" s="5" t="str">
        <f>"2022"</f>
        <v>2022</v>
      </c>
      <c r="G114" s="5" t="str">
        <f>"宏观经济学"</f>
        <v>宏观经济学</v>
      </c>
      <c r="H114" s="5" t="str">
        <f>"大学科基础课"</f>
        <v>大学科基础课</v>
      </c>
      <c r="I114" s="5" t="str">
        <f>"周一第10，11，12节{第1-17周}"</f>
        <v>周一第10，11，12节{第1-17周}</v>
      </c>
      <c r="J114" s="5" t="str">
        <f>"经济学院"</f>
        <v>经济学院</v>
      </c>
      <c r="K114" s="5" t="str">
        <f>"郭军杰"</f>
        <v>郭军杰</v>
      </c>
    </row>
    <row r="115" ht="84" spans="1:11">
      <c r="A115" s="6">
        <v>113</v>
      </c>
      <c r="B115" s="5" t="str">
        <f>"223020101023"</f>
        <v>223020101023</v>
      </c>
      <c r="C115" s="5" t="str">
        <f>"曹雅梅"</f>
        <v>曹雅梅</v>
      </c>
      <c r="D115" s="5" t="str">
        <f>"女"</f>
        <v>女</v>
      </c>
      <c r="E115" s="5" t="str">
        <f>"政治经济学"</f>
        <v>政治经济学</v>
      </c>
      <c r="F115" s="5" t="str">
        <f>"2023"</f>
        <v>2023</v>
      </c>
      <c r="G115" s="5" t="str">
        <f>"政治经济学"</f>
        <v>政治经济学</v>
      </c>
      <c r="H115" s="5" t="str">
        <f>"大学科基础课"</f>
        <v>大学科基础课</v>
      </c>
      <c r="I115" s="5" t="str">
        <f>"周四第8，9节{第1-17周}，周五第1，2节{第1-17周}"</f>
        <v>周四第8，9节{第1-17周}，周五第1，2节{第1-17周}</v>
      </c>
      <c r="J115" s="5" t="str">
        <f>"经济学院"</f>
        <v>经济学院</v>
      </c>
      <c r="K115" s="5" t="str">
        <f>"葛浩阳"</f>
        <v>葛浩阳</v>
      </c>
    </row>
    <row r="116" ht="84" spans="1:11">
      <c r="A116" s="6">
        <v>114</v>
      </c>
      <c r="B116" s="5" t="str">
        <f>"223020101017"</f>
        <v>223020101017</v>
      </c>
      <c r="C116" s="5" t="str">
        <f>"戴楚玥"</f>
        <v>戴楚玥</v>
      </c>
      <c r="D116" s="5" t="str">
        <f>"女"</f>
        <v>女</v>
      </c>
      <c r="E116" s="5" t="str">
        <f>"政治经济学"</f>
        <v>政治经济学</v>
      </c>
      <c r="F116" s="5" t="str">
        <f>"2023"</f>
        <v>2023</v>
      </c>
      <c r="G116" s="5" t="str">
        <f>"政治经济学"</f>
        <v>政治经济学</v>
      </c>
      <c r="H116" s="5" t="str">
        <f>"大学科基础课"</f>
        <v>大学科基础课</v>
      </c>
      <c r="I116" s="5" t="str">
        <f>"周三第8，9节{第1-17周}，周四第10，11节{第1-17周}"</f>
        <v>周三第8，9节{第1-17周}，周四第10，11节{第1-17周}</v>
      </c>
      <c r="J116" s="5" t="str">
        <f>"经济学院"</f>
        <v>经济学院</v>
      </c>
      <c r="K116" s="5" t="str">
        <f>"吴垠"</f>
        <v>吴垠</v>
      </c>
    </row>
    <row r="117" ht="84" spans="1:11">
      <c r="A117" s="6">
        <v>115</v>
      </c>
      <c r="B117" s="5" t="str">
        <f>"123020204007"</f>
        <v>123020204007</v>
      </c>
      <c r="C117" s="5" t="str">
        <f>"刘庆超"</f>
        <v>刘庆超</v>
      </c>
      <c r="D117" s="5" t="str">
        <f>"男"</f>
        <v>男</v>
      </c>
      <c r="E117" s="5" t="str">
        <f>"金融学"</f>
        <v>金融学</v>
      </c>
      <c r="F117" s="5" t="str">
        <f>"2023"</f>
        <v>2023</v>
      </c>
      <c r="G117" s="5" t="str">
        <f>"宏观经济学（英）"</f>
        <v>宏观经济学（英）</v>
      </c>
      <c r="H117" s="5" t="str">
        <f>"大学科基础课"</f>
        <v>大学科基础课</v>
      </c>
      <c r="I117" s="5" t="str">
        <f>"周五第5，6节{第1-17周}，周五第7节{第1-17周}"</f>
        <v>周五第5，6节{第1-17周}，周五第7节{第1-17周}</v>
      </c>
      <c r="J117" s="5" t="str">
        <f>"经济学院"</f>
        <v>经济学院</v>
      </c>
      <c r="K117" s="5" t="str">
        <f>"梁鑫"</f>
        <v>梁鑫</v>
      </c>
    </row>
    <row r="118" ht="48" spans="1:11">
      <c r="A118" s="6">
        <v>116</v>
      </c>
      <c r="B118" s="5" t="str">
        <f>"122020104003"</f>
        <v>122020104003</v>
      </c>
      <c r="C118" s="5" t="str">
        <f>"崔晓宇"</f>
        <v>崔晓宇</v>
      </c>
      <c r="D118" s="5" t="str">
        <f>"女"</f>
        <v>女</v>
      </c>
      <c r="E118" s="5" t="str">
        <f>"西方经济学"</f>
        <v>西方经济学</v>
      </c>
      <c r="F118" s="5" t="str">
        <f>"2022"</f>
        <v>2022</v>
      </c>
      <c r="G118" s="5" t="str">
        <f>"中级微观经济学"</f>
        <v>中级微观经济学</v>
      </c>
      <c r="H118" s="5" t="str">
        <f>"专业方向课"</f>
        <v>专业方向课</v>
      </c>
      <c r="I118" s="5" t="str">
        <f>"周一第10，11，12节{第1-17周}"</f>
        <v>周一第10，11，12节{第1-17周}</v>
      </c>
      <c r="J118" s="5" t="str">
        <f>"经济学院"</f>
        <v>经济学院</v>
      </c>
      <c r="K118" s="5" t="str">
        <f>"张安全"</f>
        <v>张安全</v>
      </c>
    </row>
    <row r="119" ht="84" spans="1:11">
      <c r="A119" s="6">
        <v>117</v>
      </c>
      <c r="B119" s="5" t="str">
        <f>"222020101022"</f>
        <v>222020101022</v>
      </c>
      <c r="C119" s="5" t="str">
        <f>"俞佳琦"</f>
        <v>俞佳琦</v>
      </c>
      <c r="D119" s="5" t="str">
        <f>"女"</f>
        <v>女</v>
      </c>
      <c r="E119" s="5" t="str">
        <f>"政治经济学"</f>
        <v>政治经济学</v>
      </c>
      <c r="F119" s="5" t="str">
        <f>"2022"</f>
        <v>2022</v>
      </c>
      <c r="G119" s="5" t="str">
        <f>"政治经济学"</f>
        <v>政治经济学</v>
      </c>
      <c r="H119" s="5" t="str">
        <f>"学科基础课"</f>
        <v>学科基础课</v>
      </c>
      <c r="I119" s="5" t="str">
        <f>"周三第5，6节{第1-17周}，周三第7节{第1-17周}"</f>
        <v>周三第5，6节{第1-17周}，周三第7节{第1-17周}</v>
      </c>
      <c r="J119" s="5" t="str">
        <f>"经济学院"</f>
        <v>经济学院</v>
      </c>
      <c r="K119" s="5" t="str">
        <f>"韩绿艺"</f>
        <v>韩绿艺</v>
      </c>
    </row>
    <row r="120" ht="48" spans="1:11">
      <c r="A120" s="6">
        <v>118</v>
      </c>
      <c r="B120" s="5" t="str">
        <f>"2230202J6006"</f>
        <v>2230202J6006</v>
      </c>
      <c r="C120" s="5" t="str">
        <f>"姜倩"</f>
        <v>姜倩</v>
      </c>
      <c r="D120" s="5" t="str">
        <f>"女"</f>
        <v>女</v>
      </c>
      <c r="E120" s="5" t="str">
        <f>"行为金融学"</f>
        <v>行为金融学</v>
      </c>
      <c r="F120" s="5" t="str">
        <f>"2023"</f>
        <v>2023</v>
      </c>
      <c r="G120" s="5" t="str">
        <f>"微观经济学"</f>
        <v>微观经济学</v>
      </c>
      <c r="H120" s="5" t="str">
        <f>"学科基础课"</f>
        <v>学科基础课</v>
      </c>
      <c r="I120" s="5" t="str">
        <f>"周二第10，11，12节{第1-17周}"</f>
        <v>周二第10，11，12节{第1-17周}</v>
      </c>
      <c r="J120" s="5" t="str">
        <f>"经济学院"</f>
        <v>经济学院</v>
      </c>
      <c r="K120" s="5" t="str">
        <f>"黄大康"</f>
        <v>黄大康</v>
      </c>
    </row>
    <row r="121" ht="48" spans="1:11">
      <c r="A121" s="6">
        <v>119</v>
      </c>
      <c r="B121" s="5" t="str">
        <f>"121020104001"</f>
        <v>121020104001</v>
      </c>
      <c r="C121" s="5" t="str">
        <f>"周博"</f>
        <v>周博</v>
      </c>
      <c r="D121" s="5" t="str">
        <f>"男"</f>
        <v>男</v>
      </c>
      <c r="E121" s="5" t="str">
        <f>"西方经济学"</f>
        <v>西方经济学</v>
      </c>
      <c r="F121" s="5" t="str">
        <f>"2021"</f>
        <v>2021</v>
      </c>
      <c r="G121" s="5" t="str">
        <f>"大数据与计量经济学"</f>
        <v>大数据与计量经济学</v>
      </c>
      <c r="H121" s="5" t="str">
        <f>"专业必修课"</f>
        <v>专业必修课</v>
      </c>
      <c r="I121" s="5" t="str">
        <f>"周二第10，11，12节{第1-17周}"</f>
        <v>周二第10，11，12节{第1-17周}</v>
      </c>
      <c r="J121" s="5" t="str">
        <f>"经济学院"</f>
        <v>经济学院</v>
      </c>
      <c r="K121" s="5" t="str">
        <f>"马祥"</f>
        <v>马祥</v>
      </c>
    </row>
    <row r="122" ht="48" spans="1:11">
      <c r="A122" s="6">
        <v>120</v>
      </c>
      <c r="B122" s="5" t="str">
        <f>"223020101019"</f>
        <v>223020101019</v>
      </c>
      <c r="C122" s="5" t="str">
        <f>"王雨畅"</f>
        <v>王雨畅</v>
      </c>
      <c r="D122" s="5" t="str">
        <f>"女"</f>
        <v>女</v>
      </c>
      <c r="E122" s="5" t="str">
        <f>"政治经济学"</f>
        <v>政治经济学</v>
      </c>
      <c r="F122" s="5" t="str">
        <f>"2023"</f>
        <v>2023</v>
      </c>
      <c r="G122" s="5" t="str">
        <f>"政治经济学"</f>
        <v>政治经济学</v>
      </c>
      <c r="H122" s="5" t="str">
        <f>"学科基础课"</f>
        <v>学科基础课</v>
      </c>
      <c r="I122" s="5" t="str">
        <f>"周四第10，11，12节{第1-17周}"</f>
        <v>周四第10，11，12节{第1-17周}</v>
      </c>
      <c r="J122" s="5" t="str">
        <f>"经济学院"</f>
        <v>经济学院</v>
      </c>
      <c r="K122" s="5" t="str">
        <f>"郝芮琳"</f>
        <v>郝芮琳</v>
      </c>
    </row>
    <row r="123" ht="48" spans="1:11">
      <c r="A123" s="6">
        <v>121</v>
      </c>
      <c r="B123" s="5" t="str">
        <f>"223020105010"</f>
        <v>223020105010</v>
      </c>
      <c r="C123" s="5" t="str">
        <f>"刘小旭"</f>
        <v>刘小旭</v>
      </c>
      <c r="D123" s="5" t="str">
        <f>"女"</f>
        <v>女</v>
      </c>
      <c r="E123" s="5" t="str">
        <f>"世界经济"</f>
        <v>世界经济</v>
      </c>
      <c r="F123" s="5" t="str">
        <f>"2023"</f>
        <v>2023</v>
      </c>
      <c r="G123" s="5" t="str">
        <f>"微观经济学"</f>
        <v>微观经济学</v>
      </c>
      <c r="H123" s="5" t="str">
        <f>"学科基础课"</f>
        <v>学科基础课</v>
      </c>
      <c r="I123" s="5" t="str">
        <f>"周四第10，11，12节{第1-17周}"</f>
        <v>周四第10，11，12节{第1-17周}</v>
      </c>
      <c r="J123" s="5" t="str">
        <f>"经济学院"</f>
        <v>经济学院</v>
      </c>
      <c r="K123" s="5" t="str">
        <f>"谢洪燕"</f>
        <v>谢洪燕</v>
      </c>
    </row>
    <row r="124" ht="84" spans="1:11">
      <c r="A124" s="6">
        <v>122</v>
      </c>
      <c r="B124" s="5" t="str">
        <f>"223020104011"</f>
        <v>223020104011</v>
      </c>
      <c r="C124" s="5" t="str">
        <f>"朱智涛"</f>
        <v>朱智涛</v>
      </c>
      <c r="D124" s="5" t="str">
        <f>"男"</f>
        <v>男</v>
      </c>
      <c r="E124" s="5" t="str">
        <f>"西方经济学"</f>
        <v>西方经济学</v>
      </c>
      <c r="F124" s="5" t="str">
        <f>"2023"</f>
        <v>2023</v>
      </c>
      <c r="G124" s="5" t="str">
        <f>"宏观经济学"</f>
        <v>宏观经济学</v>
      </c>
      <c r="H124" s="5" t="str">
        <f>"大学科基础课"</f>
        <v>大学科基础课</v>
      </c>
      <c r="I124" s="5" t="str">
        <f>"周四第5，6节{第1-17周}，周四第7节{第1-17周}"</f>
        <v>周四第5，6节{第1-17周}，周四第7节{第1-17周}</v>
      </c>
      <c r="J124" s="5" t="str">
        <f>"经济学院"</f>
        <v>经济学院</v>
      </c>
      <c r="K124" s="5" t="str">
        <f>"陈晓玲"</f>
        <v>陈晓玲</v>
      </c>
    </row>
    <row r="125" ht="84" spans="1:11">
      <c r="A125" s="6">
        <v>123</v>
      </c>
      <c r="B125" s="5" t="str">
        <f>"223020105002"</f>
        <v>223020105002</v>
      </c>
      <c r="C125" s="5" t="str">
        <f>"施钰杰"</f>
        <v>施钰杰</v>
      </c>
      <c r="D125" s="5" t="str">
        <f>"男"</f>
        <v>男</v>
      </c>
      <c r="E125" s="5" t="str">
        <f>"世界经济"</f>
        <v>世界经济</v>
      </c>
      <c r="F125" s="5" t="str">
        <f>"2023"</f>
        <v>2023</v>
      </c>
      <c r="G125" s="5" t="str">
        <f>"微观经济学"</f>
        <v>微观经济学</v>
      </c>
      <c r="H125" s="5" t="str">
        <f>"学科基础课"</f>
        <v>学科基础课</v>
      </c>
      <c r="I125" s="5" t="str">
        <f>"周四第5，6节{第1-17周}，周四第7节{第1-17周}"</f>
        <v>周四第5，6节{第1-17周}，周四第7节{第1-17周}</v>
      </c>
      <c r="J125" s="5" t="str">
        <f>"经济学院"</f>
        <v>经济学院</v>
      </c>
      <c r="K125" s="5" t="str">
        <f>"谢洪燕"</f>
        <v>谢洪燕</v>
      </c>
    </row>
    <row r="126" ht="84" spans="1:11">
      <c r="A126" s="6">
        <v>124</v>
      </c>
      <c r="B126" s="5" t="str">
        <f>"121020202001"</f>
        <v>121020202001</v>
      </c>
      <c r="C126" s="5" t="str">
        <f>"李溪铭"</f>
        <v>李溪铭</v>
      </c>
      <c r="D126" s="5" t="str">
        <f>"男"</f>
        <v>男</v>
      </c>
      <c r="E126" s="5" t="str">
        <f>"区域经济学"</f>
        <v>区域经济学</v>
      </c>
      <c r="F126" s="5" t="str">
        <f>"2021"</f>
        <v>2021</v>
      </c>
      <c r="G126" s="5" t="str">
        <f>"宏观经济学"</f>
        <v>宏观经济学</v>
      </c>
      <c r="H126" s="5" t="str">
        <f>"大学科基础课"</f>
        <v>大学科基础课</v>
      </c>
      <c r="I126" s="5" t="str">
        <f>"周一第5，6节{第1-17周}，周一第7节{第1-17周}"</f>
        <v>周一第5，6节{第1-17周}，周一第7节{第1-17周}</v>
      </c>
      <c r="J126" s="5" t="str">
        <f>"经济学院"</f>
        <v>经济学院</v>
      </c>
      <c r="K126" s="5" t="str">
        <f>"王子奇"</f>
        <v>王子奇</v>
      </c>
    </row>
    <row r="127" ht="48" spans="1:11">
      <c r="A127" s="6">
        <v>125</v>
      </c>
      <c r="B127" s="5" t="str">
        <f>"2230201Z3001"</f>
        <v>2230201Z3001</v>
      </c>
      <c r="C127" s="5" t="str">
        <f>"甘雯珺"</f>
        <v>甘雯珺</v>
      </c>
      <c r="D127" s="5" t="str">
        <f>"女"</f>
        <v>女</v>
      </c>
      <c r="E127" s="5" t="str">
        <f>"行为经济学"</f>
        <v>行为经济学</v>
      </c>
      <c r="F127" s="5" t="str">
        <f>"2023"</f>
        <v>2023</v>
      </c>
      <c r="G127" s="5" t="str">
        <f>"微观经济学"</f>
        <v>微观经济学</v>
      </c>
      <c r="H127" s="5" t="str">
        <f>"学科基础课"</f>
        <v>学科基础课</v>
      </c>
      <c r="I127" s="5" t="str">
        <f>"周三第10，11，12节{第1-17周}"</f>
        <v>周三第10，11，12节{第1-17周}</v>
      </c>
      <c r="J127" s="5" t="str">
        <f>"经济学院"</f>
        <v>经济学院</v>
      </c>
      <c r="K127" s="5" t="str">
        <f>"盛大林"</f>
        <v>盛大林</v>
      </c>
    </row>
    <row r="128" ht="48" spans="1:11">
      <c r="A128" s="6">
        <v>126</v>
      </c>
      <c r="B128" s="5" t="str">
        <f>"2230201Z3003"</f>
        <v>2230201Z3003</v>
      </c>
      <c r="C128" s="5" t="str">
        <f>"张诗怡"</f>
        <v>张诗怡</v>
      </c>
      <c r="D128" s="5" t="str">
        <f>"女"</f>
        <v>女</v>
      </c>
      <c r="E128" s="5" t="str">
        <f>"行为经济学"</f>
        <v>行为经济学</v>
      </c>
      <c r="F128" s="5" t="str">
        <f>"2023"</f>
        <v>2023</v>
      </c>
      <c r="G128" s="5" t="str">
        <f>"微观经济学"</f>
        <v>微观经济学</v>
      </c>
      <c r="H128" s="5" t="str">
        <f>"大类平台课"</f>
        <v>大类平台课</v>
      </c>
      <c r="I128" s="5" t="str">
        <f>"周一第10，11，12节{第1-17周}"</f>
        <v>周一第10，11，12节{第1-17周}</v>
      </c>
      <c r="J128" s="5" t="str">
        <f>"经济学院"</f>
        <v>经济学院</v>
      </c>
      <c r="K128" s="5" t="str">
        <f>"盛大林"</f>
        <v>盛大林</v>
      </c>
    </row>
    <row r="129" ht="84" spans="1:11">
      <c r="A129" s="6">
        <v>127</v>
      </c>
      <c r="B129" s="5" t="str">
        <f>"222020101012"</f>
        <v>222020101012</v>
      </c>
      <c r="C129" s="5" t="str">
        <f>"吴晓蓉"</f>
        <v>吴晓蓉</v>
      </c>
      <c r="D129" s="5" t="str">
        <f>"女"</f>
        <v>女</v>
      </c>
      <c r="E129" s="5" t="str">
        <f>"政治经济学"</f>
        <v>政治经济学</v>
      </c>
      <c r="F129" s="5" t="str">
        <f>"2022"</f>
        <v>2022</v>
      </c>
      <c r="G129" s="5" t="str">
        <f>"政治经济学"</f>
        <v>政治经济学</v>
      </c>
      <c r="H129" s="5" t="str">
        <f>"专业必修课"</f>
        <v>专业必修课</v>
      </c>
      <c r="I129" s="5" t="str">
        <f>"周三第7节{第1-17周}，周三第8，9节{第1-17周}"</f>
        <v>周三第7节{第1-17周}，周三第8，9节{第1-17周}</v>
      </c>
      <c r="J129" s="5" t="str">
        <f>"经济学院"</f>
        <v>经济学院</v>
      </c>
      <c r="K129" s="5" t="str">
        <f>"陈志舟"</f>
        <v>陈志舟</v>
      </c>
    </row>
    <row r="130" ht="84" spans="1:11">
      <c r="A130" s="6">
        <v>128</v>
      </c>
      <c r="B130" s="5" t="str">
        <f>"120020104017"</f>
        <v>120020104017</v>
      </c>
      <c r="C130" s="5" t="str">
        <f>"杨晗硕"</f>
        <v>杨晗硕</v>
      </c>
      <c r="D130" s="5" t="str">
        <f>"男"</f>
        <v>男</v>
      </c>
      <c r="E130" s="5" t="str">
        <f>"西方经济学"</f>
        <v>西方经济学</v>
      </c>
      <c r="F130" s="5" t="str">
        <f>"2020"</f>
        <v>2020</v>
      </c>
      <c r="G130" s="5" t="str">
        <f>"大数据与计量经济学"</f>
        <v>大数据与计量经济学</v>
      </c>
      <c r="H130" s="5" t="str">
        <f>"专业必修课"</f>
        <v>专业必修课</v>
      </c>
      <c r="I130" s="5" t="str">
        <f>"周三第5，6节{第1-17周}，周三第7节{第1-17周}"</f>
        <v>周三第5，6节{第1-17周}，周三第7节{第1-17周}</v>
      </c>
      <c r="J130" s="5" t="str">
        <f>"经济学院"</f>
        <v>经济学院</v>
      </c>
      <c r="K130" s="5" t="str">
        <f>"肖翰"</f>
        <v>肖翰</v>
      </c>
    </row>
    <row r="131" ht="48" spans="1:11">
      <c r="A131" s="6">
        <v>129</v>
      </c>
      <c r="B131" s="5" t="str">
        <f>"223020101005"</f>
        <v>223020101005</v>
      </c>
      <c r="C131" s="5" t="str">
        <f>"商蕴初"</f>
        <v>商蕴初</v>
      </c>
      <c r="D131" s="5" t="str">
        <f>"男"</f>
        <v>男</v>
      </c>
      <c r="E131" s="5" t="str">
        <f>"政治经济学"</f>
        <v>政治经济学</v>
      </c>
      <c r="F131" s="5" t="str">
        <f>"2023"</f>
        <v>2023</v>
      </c>
      <c r="G131" s="5" t="str">
        <f>"政治经济学"</f>
        <v>政治经济学</v>
      </c>
      <c r="H131" s="5" t="str">
        <f>"学科基础课"</f>
        <v>学科基础课</v>
      </c>
      <c r="I131" s="5" t="str">
        <f>"周四第10，11，12节{第1-17周}"</f>
        <v>周四第10，11，12节{第1-17周}</v>
      </c>
      <c r="J131" s="5" t="str">
        <f>"经济学院"</f>
        <v>经济学院</v>
      </c>
      <c r="K131" s="5" t="str">
        <f>"张航"</f>
        <v>张航</v>
      </c>
    </row>
    <row r="132" ht="48" spans="1:11">
      <c r="A132" s="6">
        <v>130</v>
      </c>
      <c r="B132" s="5" t="str">
        <f>"223020101016"</f>
        <v>223020101016</v>
      </c>
      <c r="C132" s="5" t="str">
        <f>"刘芳莲"</f>
        <v>刘芳莲</v>
      </c>
      <c r="D132" s="5" t="str">
        <f>"女"</f>
        <v>女</v>
      </c>
      <c r="E132" s="5" t="str">
        <f>"政治经济学"</f>
        <v>政治经济学</v>
      </c>
      <c r="F132" s="5" t="str">
        <f>"2023"</f>
        <v>2023</v>
      </c>
      <c r="G132" s="5" t="str">
        <f>"中级微观经济学"</f>
        <v>中级微观经济学</v>
      </c>
      <c r="H132" s="5" t="str">
        <f>"专业必修课"</f>
        <v>专业必修课</v>
      </c>
      <c r="I132" s="5" t="str">
        <f>"周二第10，11，12节{第1-17周}"</f>
        <v>周二第10，11，12节{第1-17周}</v>
      </c>
      <c r="J132" s="5" t="str">
        <f>"经济学院"</f>
        <v>经济学院</v>
      </c>
      <c r="K132" s="5" t="str">
        <f>"袁正"</f>
        <v>袁正</v>
      </c>
    </row>
    <row r="133" ht="48" spans="1:11">
      <c r="A133" s="6">
        <v>131</v>
      </c>
      <c r="B133" s="5" t="str">
        <f>"222020101009"</f>
        <v>222020101009</v>
      </c>
      <c r="C133" s="5" t="str">
        <f>"梅澜川"</f>
        <v>梅澜川</v>
      </c>
      <c r="D133" s="5" t="str">
        <f>"男"</f>
        <v>男</v>
      </c>
      <c r="E133" s="5" t="str">
        <f>"政治经济学"</f>
        <v>政治经济学</v>
      </c>
      <c r="F133" s="5" t="str">
        <f>"2022"</f>
        <v>2022</v>
      </c>
      <c r="G133" s="5" t="str">
        <f>"政治经济学"</f>
        <v>政治经济学</v>
      </c>
      <c r="H133" s="5" t="str">
        <f>"学科基础课"</f>
        <v>学科基础课</v>
      </c>
      <c r="I133" s="5" t="str">
        <f>"周四第10，11，12节{第1-17周}"</f>
        <v>周四第10，11，12节{第1-17周}</v>
      </c>
      <c r="J133" s="5" t="str">
        <f>"经济学院"</f>
        <v>经济学院</v>
      </c>
      <c r="K133" s="5" t="str">
        <f>"韩文龙"</f>
        <v>韩文龙</v>
      </c>
    </row>
    <row r="134" ht="84" spans="1:11">
      <c r="A134" s="6">
        <v>132</v>
      </c>
      <c r="B134" s="5" t="str">
        <f>"122020101001"</f>
        <v>122020101001</v>
      </c>
      <c r="C134" s="5" t="str">
        <f>"张振继"</f>
        <v>张振继</v>
      </c>
      <c r="D134" s="5" t="str">
        <f>"男"</f>
        <v>男</v>
      </c>
      <c r="E134" s="5" t="str">
        <f>"政治经济学"</f>
        <v>政治经济学</v>
      </c>
      <c r="F134" s="5" t="str">
        <f>"2022"</f>
        <v>2022</v>
      </c>
      <c r="G134" s="5" t="str">
        <f>"宏观经济学"</f>
        <v>宏观经济学</v>
      </c>
      <c r="H134" s="5" t="str">
        <f>"大学科基础课"</f>
        <v>大学科基础课</v>
      </c>
      <c r="I134" s="5" t="str">
        <f>"周一第1，2节{第1-17周}，周一第3节{第1-17周}"</f>
        <v>周一第1，2节{第1-17周}，周一第3节{第1-17周}</v>
      </c>
      <c r="J134" s="5" t="str">
        <f>"经济学院"</f>
        <v>经济学院</v>
      </c>
      <c r="K134" s="5" t="str">
        <f>"杨慧玲"</f>
        <v>杨慧玲</v>
      </c>
    </row>
    <row r="135" ht="48" spans="1:11">
      <c r="A135" s="6">
        <v>133</v>
      </c>
      <c r="B135" s="5" t="str">
        <f>"223020104009"</f>
        <v>223020104009</v>
      </c>
      <c r="C135" s="5" t="str">
        <f>"梁怡"</f>
        <v>梁怡</v>
      </c>
      <c r="D135" s="5" t="str">
        <f>"女"</f>
        <v>女</v>
      </c>
      <c r="E135" s="5" t="str">
        <f>"西方经济学"</f>
        <v>西方经济学</v>
      </c>
      <c r="F135" s="5" t="str">
        <f>"2023"</f>
        <v>2023</v>
      </c>
      <c r="G135" s="5" t="str">
        <f>"大数据与计量经济学"</f>
        <v>大数据与计量经济学</v>
      </c>
      <c r="H135" s="5" t="str">
        <f>"专业必修课"</f>
        <v>专业必修课</v>
      </c>
      <c r="I135" s="5" t="str">
        <f>"周三第10，11，12节{第1-17周}"</f>
        <v>周三第10，11，12节{第1-17周}</v>
      </c>
      <c r="J135" s="5" t="str">
        <f>"经济学院"</f>
        <v>经济学院</v>
      </c>
      <c r="K135" s="5" t="str">
        <f>"王貂"</f>
        <v>王貂</v>
      </c>
    </row>
    <row r="136" ht="84" spans="1:11">
      <c r="A136" s="6">
        <v>134</v>
      </c>
      <c r="B136" s="5" t="str">
        <f>"123020101002"</f>
        <v>123020101002</v>
      </c>
      <c r="C136" s="5" t="str">
        <f>"王梦洁"</f>
        <v>王梦洁</v>
      </c>
      <c r="D136" s="5" t="str">
        <f>"女"</f>
        <v>女</v>
      </c>
      <c r="E136" s="5" t="str">
        <f>"政治经济学"</f>
        <v>政治经济学</v>
      </c>
      <c r="F136" s="5" t="str">
        <f>"2023"</f>
        <v>2023</v>
      </c>
      <c r="G136" s="5" t="str">
        <f>"政治经济学"</f>
        <v>政治经济学</v>
      </c>
      <c r="H136" s="5" t="str">
        <f>"学科基础课"</f>
        <v>学科基础课</v>
      </c>
      <c r="I136" s="5" t="str">
        <f>"周三第5，6节{第1-17周}，周三第7节{第1-17周}"</f>
        <v>周三第5，6节{第1-17周}，周三第7节{第1-17周}</v>
      </c>
      <c r="J136" s="5" t="str">
        <f>"经济学院"</f>
        <v>经济学院</v>
      </c>
      <c r="K136" s="5" t="str">
        <f>"王卫卿"</f>
        <v>王卫卿</v>
      </c>
    </row>
    <row r="137" ht="36" spans="1:11">
      <c r="A137" s="6">
        <v>135</v>
      </c>
      <c r="B137" s="5" t="str">
        <f>"121020101001"</f>
        <v>121020101001</v>
      </c>
      <c r="C137" s="5" t="str">
        <f>"赵永洪"</f>
        <v>赵永洪</v>
      </c>
      <c r="D137" s="5" t="str">
        <f>"男"</f>
        <v>男</v>
      </c>
      <c r="E137" s="5" t="str">
        <f>"政治经济学"</f>
        <v>政治经济学</v>
      </c>
      <c r="F137" s="5" t="str">
        <f>"2021"</f>
        <v>2021</v>
      </c>
      <c r="G137" s="5" t="str">
        <f>"中级宏观经济学MOOC"</f>
        <v>中级宏观经济学MOOC</v>
      </c>
      <c r="H137" s="5" t="str">
        <f>"慕课"</f>
        <v>慕课</v>
      </c>
      <c r="I137" s="5" t="str">
        <f>"2024年9-12月"</f>
        <v>2024年9-12月</v>
      </c>
      <c r="J137" s="5" t="str">
        <f>"经济学院"</f>
        <v>经济学院</v>
      </c>
      <c r="K137" s="5" t="str">
        <f>"陈师"</f>
        <v>陈师</v>
      </c>
    </row>
    <row r="138" ht="84" spans="1:11">
      <c r="A138" s="6">
        <v>136</v>
      </c>
      <c r="B138" s="5" t="str">
        <f>"1230202J5003"</f>
        <v>1230202J5003</v>
      </c>
      <c r="C138" s="5" t="str">
        <f>"陈建航"</f>
        <v>陈建航</v>
      </c>
      <c r="D138" s="5" t="str">
        <f>"女"</f>
        <v>女</v>
      </c>
      <c r="E138" s="5" t="str">
        <f>"农业经济学"</f>
        <v>农业经济学</v>
      </c>
      <c r="F138" s="5" t="str">
        <f>"2023"</f>
        <v>2023</v>
      </c>
      <c r="G138" s="5" t="str">
        <f>"微观经济学"</f>
        <v>微观经济学</v>
      </c>
      <c r="H138" s="5" t="str">
        <f>"学科基础课"</f>
        <v>学科基础课</v>
      </c>
      <c r="I138" s="5" t="str">
        <f>"周三第5，6节{第1-17周}，周三第7节{第1-17周}"</f>
        <v>周三第5，6节{第1-17周}，周三第7节{第1-17周}</v>
      </c>
      <c r="J138" s="5" t="str">
        <f>"经济学院"</f>
        <v>经济学院</v>
      </c>
      <c r="K138" s="5" t="str">
        <f>"徐扬帆"</f>
        <v>徐扬帆</v>
      </c>
    </row>
    <row r="139" ht="84" spans="1:11">
      <c r="A139" s="6">
        <v>137</v>
      </c>
      <c r="B139" s="5" t="str">
        <f>"1230201Z3001"</f>
        <v>1230201Z3001</v>
      </c>
      <c r="C139" s="5" t="str">
        <f>"胡凡"</f>
        <v>胡凡</v>
      </c>
      <c r="D139" s="5" t="str">
        <f>"男"</f>
        <v>男</v>
      </c>
      <c r="E139" s="5" t="str">
        <f>"行为经济学"</f>
        <v>行为经济学</v>
      </c>
      <c r="F139" s="5" t="str">
        <f>"2023"</f>
        <v>2023</v>
      </c>
      <c r="G139" s="5" t="str">
        <f>"微观经济学"</f>
        <v>微观经济学</v>
      </c>
      <c r="H139" s="5" t="str">
        <f>"学科基础课"</f>
        <v>学科基础课</v>
      </c>
      <c r="I139" s="5" t="str">
        <f>"周一第5，6节{第1-17周}，周一第7节{第1-17周}"</f>
        <v>周一第5，6节{第1-17周}，周一第7节{第1-17周}</v>
      </c>
      <c r="J139" s="5" t="str">
        <f>"经济学院"</f>
        <v>经济学院</v>
      </c>
      <c r="K139" s="5" t="str">
        <f>"王帝"</f>
        <v>王帝</v>
      </c>
    </row>
    <row r="140" ht="84" spans="1:11">
      <c r="A140" s="6">
        <v>138</v>
      </c>
      <c r="B140" s="5" t="str">
        <f>"221020106003"</f>
        <v>221020106003</v>
      </c>
      <c r="C140" s="5" t="str">
        <f>"冉珈瑄"</f>
        <v>冉珈瑄</v>
      </c>
      <c r="D140" s="5" t="str">
        <f>"女"</f>
        <v>女</v>
      </c>
      <c r="E140" s="5" t="str">
        <f>"人口、资源与环境经济学"</f>
        <v>人口、资源与环境经济学</v>
      </c>
      <c r="F140" s="5" t="str">
        <f>"2021"</f>
        <v>2021</v>
      </c>
      <c r="G140" s="5" t="str">
        <f>"微观经济学"</f>
        <v>微观经济学</v>
      </c>
      <c r="H140" s="5" t="str">
        <f>"专业方向课"</f>
        <v>专业方向课</v>
      </c>
      <c r="I140" s="5" t="str">
        <f>"周三第7节{第1-17周}，周三第8，9节{第1-17周}"</f>
        <v>周三第7节{第1-17周}，周三第8，9节{第1-17周}</v>
      </c>
      <c r="J140" s="5" t="str">
        <f>"经济学院"</f>
        <v>经济学院</v>
      </c>
      <c r="K140" s="5" t="str">
        <f>"刘炎周"</f>
        <v>刘炎周</v>
      </c>
    </row>
    <row r="141" ht="84" spans="1:11">
      <c r="A141" s="6">
        <v>139</v>
      </c>
      <c r="B141" s="5" t="str">
        <f>"223020104020"</f>
        <v>223020104020</v>
      </c>
      <c r="C141" s="5" t="str">
        <f>"巫卓琳"</f>
        <v>巫卓琳</v>
      </c>
      <c r="D141" s="5" t="str">
        <f>"女"</f>
        <v>女</v>
      </c>
      <c r="E141" s="5" t="str">
        <f>"西方经济学"</f>
        <v>西方经济学</v>
      </c>
      <c r="F141" s="5" t="str">
        <f>"2023"</f>
        <v>2023</v>
      </c>
      <c r="G141" s="5" t="str">
        <f>"宏观经济学"</f>
        <v>宏观经济学</v>
      </c>
      <c r="H141" s="5" t="str">
        <f>"大学科基础课"</f>
        <v>大学科基础课</v>
      </c>
      <c r="I141" s="5" t="str">
        <f>"周五第7节{第1-17周}，周五第8，9节{第1-17周}"</f>
        <v>周五第7节{第1-17周}，周五第8，9节{第1-17周}</v>
      </c>
      <c r="J141" s="5" t="str">
        <f>"经济学院"</f>
        <v>经济学院</v>
      </c>
      <c r="K141" s="5" t="str">
        <f>"戴薇"</f>
        <v>戴薇</v>
      </c>
    </row>
    <row r="142" ht="84" spans="1:11">
      <c r="A142" s="6">
        <v>140</v>
      </c>
      <c r="B142" s="5" t="str">
        <f>"222020101008"</f>
        <v>222020101008</v>
      </c>
      <c r="C142" s="5" t="str">
        <f>"杨涛年"</f>
        <v>杨涛年</v>
      </c>
      <c r="D142" s="5" t="str">
        <f>"男"</f>
        <v>男</v>
      </c>
      <c r="E142" s="5" t="str">
        <f>"政治经济学"</f>
        <v>政治经济学</v>
      </c>
      <c r="F142" s="5" t="str">
        <f>"2022"</f>
        <v>2022</v>
      </c>
      <c r="G142" s="5" t="str">
        <f>"政治经济学"</f>
        <v>政治经济学</v>
      </c>
      <c r="H142" s="5" t="str">
        <f>"学科基础课"</f>
        <v>学科基础课</v>
      </c>
      <c r="I142" s="5" t="str">
        <f>"周三第5，6节{第1-17周}，周三第7节{第1-17周}"</f>
        <v>周三第5，6节{第1-17周}，周三第7节{第1-17周}</v>
      </c>
      <c r="J142" s="5" t="str">
        <f>"经济学院"</f>
        <v>经济学院</v>
      </c>
      <c r="K142" s="5" t="str">
        <f>"陈航"</f>
        <v>陈航</v>
      </c>
    </row>
    <row r="143" ht="84" spans="1:11">
      <c r="A143" s="6">
        <v>141</v>
      </c>
      <c r="B143" s="5" t="str">
        <f>"2230202J5002"</f>
        <v>2230202J5002</v>
      </c>
      <c r="C143" s="5" t="str">
        <f>"徐晨曦"</f>
        <v>徐晨曦</v>
      </c>
      <c r="D143" s="5" t="str">
        <f>"男"</f>
        <v>男</v>
      </c>
      <c r="E143" s="5" t="str">
        <f>"农业经济学"</f>
        <v>农业经济学</v>
      </c>
      <c r="F143" s="5" t="str">
        <f>"2023"</f>
        <v>2023</v>
      </c>
      <c r="G143" s="5" t="str">
        <f>"微观经济学"</f>
        <v>微观经济学</v>
      </c>
      <c r="H143" s="5" t="str">
        <f>"学科基础课"</f>
        <v>学科基础课</v>
      </c>
      <c r="I143" s="5" t="str">
        <f>"周四第5，6节{第1-17周}，周四第7节{第1-17周}"</f>
        <v>周四第5，6节{第1-17周}，周四第7节{第1-17周}</v>
      </c>
      <c r="J143" s="5" t="str">
        <f>"经济学院"</f>
        <v>经济学院</v>
      </c>
      <c r="K143" s="5" t="str">
        <f>"王雨祥"</f>
        <v>王雨祥</v>
      </c>
    </row>
    <row r="144" ht="48" spans="1:11">
      <c r="A144" s="6">
        <v>142</v>
      </c>
      <c r="B144" s="5" t="str">
        <f>"223020101026"</f>
        <v>223020101026</v>
      </c>
      <c r="C144" s="5" t="str">
        <f>"毕昕玥"</f>
        <v>毕昕玥</v>
      </c>
      <c r="D144" s="5" t="str">
        <f>"女"</f>
        <v>女</v>
      </c>
      <c r="E144" s="5" t="str">
        <f>"政治经济学"</f>
        <v>政治经济学</v>
      </c>
      <c r="F144" s="5" t="str">
        <f>"2023"</f>
        <v>2023</v>
      </c>
      <c r="G144" s="5" t="str">
        <f>"政治经济学"</f>
        <v>政治经济学</v>
      </c>
      <c r="H144" s="5" t="str">
        <f>"学科基础课"</f>
        <v>学科基础课</v>
      </c>
      <c r="I144" s="5" t="str">
        <f>"周三第10，11，12节{第1-17周}"</f>
        <v>周三第10，11，12节{第1-17周}</v>
      </c>
      <c r="J144" s="5" t="str">
        <f>"经济学院"</f>
        <v>经济学院</v>
      </c>
      <c r="K144" s="5" t="str">
        <f>"冯鹏程"</f>
        <v>冯鹏程</v>
      </c>
    </row>
    <row r="145" ht="84" spans="1:11">
      <c r="A145" s="6">
        <v>143</v>
      </c>
      <c r="B145" s="5" t="str">
        <f>"123020101006"</f>
        <v>123020101006</v>
      </c>
      <c r="C145" s="5" t="str">
        <f>"段小玉"</f>
        <v>段小玉</v>
      </c>
      <c r="D145" s="5" t="str">
        <f>"女"</f>
        <v>女</v>
      </c>
      <c r="E145" s="5" t="str">
        <f>"政治经济学"</f>
        <v>政治经济学</v>
      </c>
      <c r="F145" s="5" t="str">
        <f>"2023"</f>
        <v>2023</v>
      </c>
      <c r="G145" s="5" t="str">
        <f>"微观经济学"</f>
        <v>微观经济学</v>
      </c>
      <c r="H145" s="5" t="str">
        <f>"学科基础课"</f>
        <v>学科基础课</v>
      </c>
      <c r="I145" s="5" t="str">
        <f>"周五第1，2节{第1-17周}，周五第3节{第1-17周}"</f>
        <v>周五第1，2节{第1-17周}，周五第3节{第1-17周}</v>
      </c>
      <c r="J145" s="5" t="str">
        <f>"经济学院"</f>
        <v>经济学院</v>
      </c>
      <c r="K145" s="5" t="str">
        <f>"刘柯含"</f>
        <v>刘柯含</v>
      </c>
    </row>
    <row r="146" ht="84" spans="1:11">
      <c r="A146" s="6">
        <v>144</v>
      </c>
      <c r="B146" s="5" t="str">
        <f>"223020101021"</f>
        <v>223020101021</v>
      </c>
      <c r="C146" s="5" t="str">
        <f>"吕萍"</f>
        <v>吕萍</v>
      </c>
      <c r="D146" s="5" t="str">
        <f>"女"</f>
        <v>女</v>
      </c>
      <c r="E146" s="5" t="str">
        <f>"政治经济学"</f>
        <v>政治经济学</v>
      </c>
      <c r="F146" s="5" t="str">
        <f>"2023"</f>
        <v>2023</v>
      </c>
      <c r="G146" s="5" t="str">
        <f>"政治经济学"</f>
        <v>政治经济学</v>
      </c>
      <c r="H146" s="5" t="str">
        <f>"学科基础课"</f>
        <v>学科基础课</v>
      </c>
      <c r="I146" s="5" t="str">
        <f>"周四第5，6节{第1-17周}，周四第7节{第1-17周}"</f>
        <v>周四第5，6节{第1-17周}，周四第7节{第1-17周}</v>
      </c>
      <c r="J146" s="5" t="str">
        <f>"经济学院"</f>
        <v>经济学院</v>
      </c>
      <c r="K146" s="5" t="str">
        <f>"李怡乐"</f>
        <v>李怡乐</v>
      </c>
    </row>
    <row r="147" ht="84" spans="1:11">
      <c r="A147" s="6">
        <v>145</v>
      </c>
      <c r="B147" s="5" t="str">
        <f>"120020101006"</f>
        <v>120020101006</v>
      </c>
      <c r="C147" s="5" t="str">
        <f>"马少春"</f>
        <v>马少春</v>
      </c>
      <c r="D147" s="5" t="str">
        <f>"女"</f>
        <v>女</v>
      </c>
      <c r="E147" s="5" t="str">
        <f>"政治经济学"</f>
        <v>政治经济学</v>
      </c>
      <c r="F147" s="5" t="str">
        <f>"2020"</f>
        <v>2020</v>
      </c>
      <c r="G147" s="5" t="str">
        <f>"政治经济学"</f>
        <v>政治经济学</v>
      </c>
      <c r="H147" s="5" t="str">
        <f>"学科基础课"</f>
        <v>学科基础课</v>
      </c>
      <c r="I147" s="5" t="str">
        <f>"周五第1，2节{第1-17周}，周五第3节{第1-17周}"</f>
        <v>周五第1，2节{第1-17周}，周五第3节{第1-17周}</v>
      </c>
      <c r="J147" s="5" t="str">
        <f>"经济学院"</f>
        <v>经济学院</v>
      </c>
      <c r="K147" s="5" t="str">
        <f>"田世野"</f>
        <v>田世野</v>
      </c>
    </row>
    <row r="148" ht="84" spans="1:11">
      <c r="A148" s="6">
        <v>146</v>
      </c>
      <c r="B148" s="5" t="str">
        <f>"123020101005"</f>
        <v>123020101005</v>
      </c>
      <c r="C148" s="5" t="str">
        <f>"张瑞生"</f>
        <v>张瑞生</v>
      </c>
      <c r="D148" s="5" t="str">
        <f>"男"</f>
        <v>男</v>
      </c>
      <c r="E148" s="5" t="str">
        <f>"政治经济学"</f>
        <v>政治经济学</v>
      </c>
      <c r="F148" s="5" t="str">
        <f>"2023"</f>
        <v>2023</v>
      </c>
      <c r="G148" s="5" t="str">
        <f>"政治经济学"</f>
        <v>政治经济学</v>
      </c>
      <c r="H148" s="5" t="str">
        <f>"学科基础课"</f>
        <v>学科基础课</v>
      </c>
      <c r="I148" s="5" t="str">
        <f>"周四第1，2节{第1-17周}，周四第3节{第1-17周}"</f>
        <v>周四第1，2节{第1-17周}，周四第3节{第1-17周}</v>
      </c>
      <c r="J148" s="5" t="str">
        <f>"经济学院"</f>
        <v>经济学院</v>
      </c>
      <c r="K148" s="5" t="str">
        <f>"李怡乐"</f>
        <v>李怡乐</v>
      </c>
    </row>
    <row r="149" ht="84" spans="1:11">
      <c r="A149" s="6">
        <v>147</v>
      </c>
      <c r="B149" s="5" t="str">
        <f>"222020101015"</f>
        <v>222020101015</v>
      </c>
      <c r="C149" s="5" t="str">
        <f>"徐甜"</f>
        <v>徐甜</v>
      </c>
      <c r="D149" s="5" t="str">
        <f>"女"</f>
        <v>女</v>
      </c>
      <c r="E149" s="5" t="str">
        <f>"政治经济学"</f>
        <v>政治经济学</v>
      </c>
      <c r="F149" s="5" t="str">
        <f>"2022"</f>
        <v>2022</v>
      </c>
      <c r="G149" s="5" t="str">
        <f>"政治经济学"</f>
        <v>政治经济学</v>
      </c>
      <c r="H149" s="5" t="str">
        <f>"学科基础课"</f>
        <v>学科基础课</v>
      </c>
      <c r="I149" s="5" t="str">
        <f>"周二第1，2节{第1-17周}，周二第3节{第1-17周}"</f>
        <v>周二第1，2节{第1-17周}，周二第3节{第1-17周}</v>
      </c>
      <c r="J149" s="5" t="str">
        <f>"经济学院"</f>
        <v>经济学院</v>
      </c>
      <c r="K149" s="5" t="str">
        <f>"刘子嘉"</f>
        <v>刘子嘉</v>
      </c>
    </row>
    <row r="150" ht="84" spans="1:11">
      <c r="A150" s="6">
        <v>148</v>
      </c>
      <c r="B150" s="5" t="str">
        <f>"121020105003"</f>
        <v>121020105003</v>
      </c>
      <c r="C150" s="5" t="str">
        <f>"吴冠阳"</f>
        <v>吴冠阳</v>
      </c>
      <c r="D150" s="5" t="str">
        <f>"男"</f>
        <v>男</v>
      </c>
      <c r="E150" s="5" t="str">
        <f>"世界经济"</f>
        <v>世界经济</v>
      </c>
      <c r="F150" s="5" t="str">
        <f>"2021"</f>
        <v>2021</v>
      </c>
      <c r="G150" s="5" t="str">
        <f>"微观经济学"</f>
        <v>微观经济学</v>
      </c>
      <c r="H150" s="5" t="str">
        <f>"学科基础课"</f>
        <v>学科基础课</v>
      </c>
      <c r="I150" s="5" t="str">
        <f>"周五第5，6节{第1-17周}，周五第7节{第1-17周}"</f>
        <v>周五第5，6节{第1-17周}，周五第7节{第1-17周}</v>
      </c>
      <c r="J150" s="5" t="str">
        <f>"经济学院"</f>
        <v>经济学院</v>
      </c>
      <c r="K150" s="5" t="str">
        <f>"刘柯含"</f>
        <v>刘柯含</v>
      </c>
    </row>
    <row r="151" ht="84" spans="1:11">
      <c r="A151" s="6">
        <v>149</v>
      </c>
      <c r="B151" s="5" t="str">
        <f>"2230202J6004"</f>
        <v>2230202J6004</v>
      </c>
      <c r="C151" s="5" t="str">
        <f>"曾熙瑶"</f>
        <v>曾熙瑶</v>
      </c>
      <c r="D151" s="5" t="str">
        <f>"女"</f>
        <v>女</v>
      </c>
      <c r="E151" s="5" t="str">
        <f>"行为金融学"</f>
        <v>行为金融学</v>
      </c>
      <c r="F151" s="5" t="str">
        <f>"2023"</f>
        <v>2023</v>
      </c>
      <c r="G151" s="5" t="str">
        <f>"微观经济学"</f>
        <v>微观经济学</v>
      </c>
      <c r="H151" s="5" t="str">
        <f>"学科基础课"</f>
        <v>学科基础课</v>
      </c>
      <c r="I151" s="5" t="str">
        <f>"周五第1，2节{第1-17周}，周五第3节{第1-17周}"</f>
        <v>周五第1，2节{第1-17周}，周五第3节{第1-17周}</v>
      </c>
      <c r="J151" s="5" t="str">
        <f>"经济学院"</f>
        <v>经济学院</v>
      </c>
      <c r="K151" s="5" t="str">
        <f>"王帝"</f>
        <v>王帝</v>
      </c>
    </row>
    <row r="152" ht="48" spans="1:11">
      <c r="A152" s="6">
        <v>150</v>
      </c>
      <c r="B152" s="5" t="str">
        <f>"222020205010"</f>
        <v>222020205010</v>
      </c>
      <c r="C152" s="5" t="str">
        <f>"邱露"</f>
        <v>邱露</v>
      </c>
      <c r="D152" s="5" t="str">
        <f>"女"</f>
        <v>女</v>
      </c>
      <c r="E152" s="5" t="str">
        <f>"产业经济学"</f>
        <v>产业经济学</v>
      </c>
      <c r="F152" s="5" t="str">
        <f>"2022"</f>
        <v>2022</v>
      </c>
      <c r="G152" s="5" t="str">
        <f>"微观经济学"</f>
        <v>微观经济学</v>
      </c>
      <c r="H152" s="5" t="str">
        <f>"专业必修课"</f>
        <v>专业必修课</v>
      </c>
      <c r="I152" s="5" t="str">
        <f>"周二第10，11，12节{第1-17周}"</f>
        <v>周二第10，11，12节{第1-17周}</v>
      </c>
      <c r="J152" s="5" t="str">
        <f>"经济学院"</f>
        <v>经济学院</v>
      </c>
      <c r="K152" s="5" t="str">
        <f>"刘炎周"</f>
        <v>刘炎周</v>
      </c>
    </row>
    <row r="153" ht="84" spans="1:11">
      <c r="A153" s="6">
        <v>151</v>
      </c>
      <c r="B153" s="5" t="str">
        <f>"120020104009"</f>
        <v>120020104009</v>
      </c>
      <c r="C153" s="5" t="str">
        <f>"陈映彤"</f>
        <v>陈映彤</v>
      </c>
      <c r="D153" s="5" t="str">
        <f>"女"</f>
        <v>女</v>
      </c>
      <c r="E153" s="5" t="str">
        <f>"西方经济学"</f>
        <v>西方经济学</v>
      </c>
      <c r="F153" s="5" t="str">
        <f>"2020"</f>
        <v>2020</v>
      </c>
      <c r="G153" s="5" t="str">
        <f>"微观经济学"</f>
        <v>微观经济学</v>
      </c>
      <c r="H153" s="5" t="str">
        <f>"学科基础课"</f>
        <v>学科基础课</v>
      </c>
      <c r="I153" s="5" t="str">
        <f>"周三第1，2节{第1-17周}，周三第3节{第1-17周}"</f>
        <v>周三第1，2节{第1-17周}，周三第3节{第1-17周}</v>
      </c>
      <c r="J153" s="5" t="str">
        <f>"经济学院"</f>
        <v>经济学院</v>
      </c>
      <c r="K153" s="5" t="str">
        <f>"蔡郑宇"</f>
        <v>蔡郑宇</v>
      </c>
    </row>
    <row r="154" ht="84" spans="1:11">
      <c r="A154" s="6">
        <v>152</v>
      </c>
      <c r="B154" s="5" t="str">
        <f>"223020204123"</f>
        <v>223020204123</v>
      </c>
      <c r="C154" s="5" t="str">
        <f>"盛依佳"</f>
        <v>盛依佳</v>
      </c>
      <c r="D154" s="5" t="str">
        <f>"女"</f>
        <v>女</v>
      </c>
      <c r="E154" s="5" t="str">
        <f>"金融学"</f>
        <v>金融学</v>
      </c>
      <c r="F154" s="5" t="str">
        <f>"2023"</f>
        <v>2023</v>
      </c>
      <c r="G154" s="5" t="str">
        <f>"微观经济学"</f>
        <v>微观经济学</v>
      </c>
      <c r="H154" s="5" t="str">
        <f>"学科基础课"</f>
        <v>学科基础课</v>
      </c>
      <c r="I154" s="5" t="str">
        <f>"周五第5，6节{第1-17周}，周五第7节{第1-17周}"</f>
        <v>周五第5，6节{第1-17周}，周五第7节{第1-17周}</v>
      </c>
      <c r="J154" s="5" t="str">
        <f>"经济学院"</f>
        <v>经济学院</v>
      </c>
      <c r="K154" s="5" t="str">
        <f>"鲁利民"</f>
        <v>鲁利民</v>
      </c>
    </row>
    <row r="155" ht="84" spans="1:11">
      <c r="A155" s="6">
        <v>153</v>
      </c>
      <c r="B155" s="5" t="str">
        <f>"122020101004"</f>
        <v>122020101004</v>
      </c>
      <c r="C155" s="5" t="str">
        <f>"陈雨森"</f>
        <v>陈雨森</v>
      </c>
      <c r="D155" s="5" t="str">
        <f>"男"</f>
        <v>男</v>
      </c>
      <c r="E155" s="5" t="str">
        <f>"政治经济学"</f>
        <v>政治经济学</v>
      </c>
      <c r="F155" s="5" t="str">
        <f>"2022"</f>
        <v>2022</v>
      </c>
      <c r="G155" s="5" t="str">
        <f>"政治经济学"</f>
        <v>政治经济学</v>
      </c>
      <c r="H155" s="5" t="str">
        <f>"学科基础课"</f>
        <v>学科基础课</v>
      </c>
      <c r="I155" s="5" t="str">
        <f>"周三第5，6节{第1-17周}，周三第7节{第1-17周}"</f>
        <v>周三第5，6节{第1-17周}，周三第7节{第1-17周}</v>
      </c>
      <c r="J155" s="5" t="str">
        <f>"经济学院"</f>
        <v>经济学院</v>
      </c>
      <c r="K155" s="5" t="str">
        <f>"冯鹏程"</f>
        <v>冯鹏程</v>
      </c>
    </row>
    <row r="156" ht="48" spans="1:11">
      <c r="A156" s="6">
        <v>154</v>
      </c>
      <c r="B156" s="5" t="str">
        <f>"123020201002"</f>
        <v>123020201002</v>
      </c>
      <c r="C156" s="5" t="str">
        <f>"赵琬瑛"</f>
        <v>赵琬瑛</v>
      </c>
      <c r="D156" s="5" t="str">
        <f>"女"</f>
        <v>女</v>
      </c>
      <c r="E156" s="5" t="str">
        <f>"国民经济学"</f>
        <v>国民经济学</v>
      </c>
      <c r="F156" s="5" t="str">
        <f>"2023"</f>
        <v>2023</v>
      </c>
      <c r="G156" s="5" t="str">
        <f>"微观经济学"</f>
        <v>微观经济学</v>
      </c>
      <c r="H156" s="5" t="str">
        <f>"学科基础课"</f>
        <v>学科基础课</v>
      </c>
      <c r="I156" s="5" t="str">
        <f>"周一第10，11，12节{第1-17周}"</f>
        <v>周一第10，11，12节{第1-17周}</v>
      </c>
      <c r="J156" s="5" t="str">
        <f>"经济学院"</f>
        <v>经济学院</v>
      </c>
      <c r="K156" s="5" t="str">
        <f>"郑雪梅"</f>
        <v>郑雪梅</v>
      </c>
    </row>
    <row r="157" ht="48" spans="1:11">
      <c r="A157" s="6">
        <v>155</v>
      </c>
      <c r="B157" s="5" t="str">
        <f>"222020101020"</f>
        <v>222020101020</v>
      </c>
      <c r="C157" s="5" t="str">
        <f>"李雨琦"</f>
        <v>李雨琦</v>
      </c>
      <c r="D157" s="5" t="str">
        <f>"女"</f>
        <v>女</v>
      </c>
      <c r="E157" s="5" t="str">
        <f>"政治经济学"</f>
        <v>政治经济学</v>
      </c>
      <c r="F157" s="5" t="str">
        <f>"2022"</f>
        <v>2022</v>
      </c>
      <c r="G157" s="5" t="str">
        <f>"政治经济学"</f>
        <v>政治经济学</v>
      </c>
      <c r="H157" s="5" t="str">
        <f>"学科基础课"</f>
        <v>学科基础课</v>
      </c>
      <c r="I157" s="5" t="str">
        <f>"周三第10，11，12节{第1-17周}"</f>
        <v>周三第10，11，12节{第1-17周}</v>
      </c>
      <c r="J157" s="5" t="str">
        <f>"经济学院"</f>
        <v>经济学院</v>
      </c>
      <c r="K157" s="5" t="str">
        <f>"韩绿艺"</f>
        <v>韩绿艺</v>
      </c>
    </row>
    <row r="158" ht="84" spans="1:11">
      <c r="A158" s="6">
        <v>156</v>
      </c>
      <c r="B158" s="5" t="str">
        <f>"223020104027"</f>
        <v>223020104027</v>
      </c>
      <c r="C158" s="5" t="str">
        <f>"李若琪"</f>
        <v>李若琪</v>
      </c>
      <c r="D158" s="5" t="str">
        <f>"女"</f>
        <v>女</v>
      </c>
      <c r="E158" s="5" t="str">
        <f>"西方经济学"</f>
        <v>西方经济学</v>
      </c>
      <c r="F158" s="5" t="str">
        <f>"2023"</f>
        <v>2023</v>
      </c>
      <c r="G158" s="5" t="str">
        <f>"宏观经济学"</f>
        <v>宏观经济学</v>
      </c>
      <c r="H158" s="5" t="str">
        <f>"大学科基础课"</f>
        <v>大学科基础课</v>
      </c>
      <c r="I158" s="5" t="str">
        <f>"周四第5，6节{第1-17周}，周四第7节{第1-17周}"</f>
        <v>周四第5，6节{第1-17周}，周四第7节{第1-17周}</v>
      </c>
      <c r="J158" s="5" t="str">
        <f>"经济学院"</f>
        <v>经济学院</v>
      </c>
      <c r="K158" s="5" t="str">
        <f>"陈晓玲"</f>
        <v>陈晓玲</v>
      </c>
    </row>
    <row r="159" ht="84" spans="1:11">
      <c r="A159" s="6">
        <v>157</v>
      </c>
      <c r="B159" s="5" t="str">
        <f>"223020104013"</f>
        <v>223020104013</v>
      </c>
      <c r="C159" s="5" t="str">
        <f>"方艺杰"</f>
        <v>方艺杰</v>
      </c>
      <c r="D159" s="5" t="str">
        <f>"男"</f>
        <v>男</v>
      </c>
      <c r="E159" s="5" t="str">
        <f>"西方经济学"</f>
        <v>西方经济学</v>
      </c>
      <c r="F159" s="5" t="str">
        <f>"2023"</f>
        <v>2023</v>
      </c>
      <c r="G159" s="5" t="str">
        <f>"宏观经济学"</f>
        <v>宏观经济学</v>
      </c>
      <c r="H159" s="5" t="str">
        <f>"大学科基础课"</f>
        <v>大学科基础课</v>
      </c>
      <c r="I159" s="5" t="str">
        <f>"周四第1，2节{第1-17周}，周四第3节{第1-17周}"</f>
        <v>周四第1，2节{第1-17周}，周四第3节{第1-17周}</v>
      </c>
      <c r="J159" s="5" t="str">
        <f>"经济学院"</f>
        <v>经济学院</v>
      </c>
      <c r="K159" s="5" t="str">
        <f>"柳春"</f>
        <v>柳春</v>
      </c>
    </row>
    <row r="160" ht="84" spans="1:11">
      <c r="A160" s="6">
        <v>158</v>
      </c>
      <c r="B160" s="5" t="str">
        <f>"122020101002"</f>
        <v>122020101002</v>
      </c>
      <c r="C160" s="5" t="str">
        <f>"唐湘"</f>
        <v>唐湘</v>
      </c>
      <c r="D160" s="5" t="str">
        <f>"女"</f>
        <v>女</v>
      </c>
      <c r="E160" s="5" t="str">
        <f>"政治经济学"</f>
        <v>政治经济学</v>
      </c>
      <c r="F160" s="5" t="str">
        <f>"2022"</f>
        <v>2022</v>
      </c>
      <c r="G160" s="5" t="str">
        <f>"政治经济学"</f>
        <v>政治经济学</v>
      </c>
      <c r="H160" s="5" t="str">
        <f>"学科基础课"</f>
        <v>学科基础课</v>
      </c>
      <c r="I160" s="5" t="str">
        <f>"周三第1，2节{第1-17周}，周三第3节{第1-17周}"</f>
        <v>周三第1，2节{第1-17周}，周三第3节{第1-17周}</v>
      </c>
      <c r="J160" s="5" t="str">
        <f>"经济学院"</f>
        <v>经济学院</v>
      </c>
      <c r="K160" s="5" t="str">
        <f>"盖凯程"</f>
        <v>盖凯程</v>
      </c>
    </row>
    <row r="161" ht="48" spans="1:11">
      <c r="A161" s="6">
        <v>159</v>
      </c>
      <c r="B161" s="5" t="str">
        <f>"121020104014"</f>
        <v>121020104014</v>
      </c>
      <c r="C161" s="5" t="str">
        <f>"薛媛"</f>
        <v>薛媛</v>
      </c>
      <c r="D161" s="5" t="str">
        <f>"女"</f>
        <v>女</v>
      </c>
      <c r="E161" s="5" t="str">
        <f>"西方经济学"</f>
        <v>西方经济学</v>
      </c>
      <c r="F161" s="5" t="str">
        <f>"2021"</f>
        <v>2021</v>
      </c>
      <c r="G161" s="5" t="str">
        <f>"中级宏观经济学（英）"</f>
        <v>中级宏观经济学（英）</v>
      </c>
      <c r="H161" s="5" t="str">
        <f>"专业必修课"</f>
        <v>专业必修课</v>
      </c>
      <c r="I161" s="5" t="str">
        <f>"周二第10，11，12节{第1-17周}"</f>
        <v>周二第10，11，12节{第1-17周}</v>
      </c>
      <c r="J161" s="5" t="str">
        <f>"经济与管理研究院"</f>
        <v>经济与管理研究院</v>
      </c>
      <c r="K161" s="5" t="str">
        <f>"张雷"</f>
        <v>张雷</v>
      </c>
    </row>
    <row r="162" ht="84" spans="1:11">
      <c r="A162" s="6">
        <v>160</v>
      </c>
      <c r="B162" s="5" t="str">
        <f>"121020204051"</f>
        <v>121020204051</v>
      </c>
      <c r="C162" s="5" t="str">
        <f>"塔依尔·吐地"</f>
        <v>塔依尔·吐地</v>
      </c>
      <c r="D162" s="5" t="str">
        <f>"男"</f>
        <v>男</v>
      </c>
      <c r="E162" s="5" t="str">
        <f>"金融学"</f>
        <v>金融学</v>
      </c>
      <c r="F162" s="5" t="str">
        <f>"2021"</f>
        <v>2021</v>
      </c>
      <c r="G162" s="5" t="str">
        <f>"中级宏观经济学（英）"</f>
        <v>中级宏观经济学（英）</v>
      </c>
      <c r="H162" s="5" t="str">
        <f>"专业必修课"</f>
        <v>专业必修课</v>
      </c>
      <c r="I162" s="5" t="str">
        <f>"周二第1，2节{第1-17周}，周二第3节{第1-17周}"</f>
        <v>周二第1，2节{第1-17周}，周二第3节{第1-17周}</v>
      </c>
      <c r="J162" s="5" t="str">
        <f>"经济与管理研究院"</f>
        <v>经济与管理研究院</v>
      </c>
      <c r="K162" s="5" t="str">
        <f>"张雷"</f>
        <v>张雷</v>
      </c>
    </row>
    <row r="163" ht="48" spans="1:11">
      <c r="A163" s="6">
        <v>161</v>
      </c>
      <c r="B163" s="5" t="str">
        <f>"123020104014"</f>
        <v>123020104014</v>
      </c>
      <c r="C163" s="5" t="str">
        <f>"刘彦秀"</f>
        <v>刘彦秀</v>
      </c>
      <c r="D163" s="5" t="str">
        <f>"女"</f>
        <v>女</v>
      </c>
      <c r="E163" s="5" t="str">
        <f>"西方经济学"</f>
        <v>西方经济学</v>
      </c>
      <c r="F163" s="5" t="str">
        <f>"2023"</f>
        <v>2023</v>
      </c>
      <c r="G163" s="5" t="str">
        <f>"中级宏观经济学（英）"</f>
        <v>中级宏观经济学（英）</v>
      </c>
      <c r="H163" s="5" t="str">
        <f>"专业必修课"</f>
        <v>专业必修课</v>
      </c>
      <c r="I163" s="5" t="str">
        <f>"周三第10，11，12节{第1-17周}"</f>
        <v>周三第10，11，12节{第1-17周}</v>
      </c>
      <c r="J163" s="5" t="str">
        <f>"经济与管理研究院"</f>
        <v>经济与管理研究院</v>
      </c>
      <c r="K163" s="5" t="str">
        <f>"彭涛"</f>
        <v>彭涛</v>
      </c>
    </row>
    <row r="164" ht="60" spans="1:11">
      <c r="A164" s="6">
        <v>162</v>
      </c>
      <c r="B164" s="5" t="str">
        <f>"223030505012"</f>
        <v>223030505012</v>
      </c>
      <c r="C164" s="5" t="str">
        <f>"刘静"</f>
        <v>刘静</v>
      </c>
      <c r="D164" s="5" t="str">
        <f>"女"</f>
        <v>女</v>
      </c>
      <c r="E164" s="5" t="str">
        <f>"思想政治教育"</f>
        <v>思想政治教育</v>
      </c>
      <c r="F164" s="5" t="str">
        <f>"2023"</f>
        <v>2023</v>
      </c>
      <c r="G164" s="5" t="str">
        <f>"习近平新时代中国特色社会主义思想概论"</f>
        <v>习近平新时代中国特色社会主义思想概论</v>
      </c>
      <c r="H164" s="5" t="str">
        <f>"通识基础课"</f>
        <v>通识基础课</v>
      </c>
      <c r="I164" s="5" t="str">
        <f>"周四第3，4节{第1-17周}"</f>
        <v>周四第3，4节{第1-17周}</v>
      </c>
      <c r="J164" s="5" t="str">
        <f>"马克思主义学院"</f>
        <v>马克思主义学院</v>
      </c>
      <c r="K164" s="5" t="str">
        <f>"周洁"</f>
        <v>周洁</v>
      </c>
    </row>
    <row r="165" ht="84" spans="1:11">
      <c r="A165" s="6">
        <v>163</v>
      </c>
      <c r="B165" s="5" t="str">
        <f>"223030505006"</f>
        <v>223030505006</v>
      </c>
      <c r="C165" s="5" t="str">
        <f>"钟东瑜"</f>
        <v>钟东瑜</v>
      </c>
      <c r="D165" s="5" t="str">
        <f>"女"</f>
        <v>女</v>
      </c>
      <c r="E165" s="5" t="str">
        <f>"思想政治教育"</f>
        <v>思想政治教育</v>
      </c>
      <c r="F165" s="5" t="str">
        <f>"2023"</f>
        <v>2023</v>
      </c>
      <c r="G165" s="5" t="str">
        <f>"中国近现代史纲要"</f>
        <v>中国近现代史纲要</v>
      </c>
      <c r="H165" s="5" t="str">
        <f>"思想政治课程"</f>
        <v>思想政治课程</v>
      </c>
      <c r="I165" s="5" t="str">
        <f>"周一第5，6节{第1-17周}，周一第7节{第1-17周}"</f>
        <v>周一第5，6节{第1-17周}，周一第7节{第1-17周}</v>
      </c>
      <c r="J165" s="5" t="str">
        <f>"马克思主义学院"</f>
        <v>马克思主义学院</v>
      </c>
      <c r="K165" s="5" t="str">
        <f>"贾国雄"</f>
        <v>贾国雄</v>
      </c>
    </row>
    <row r="166" ht="84" spans="1:11">
      <c r="A166" s="6">
        <v>164</v>
      </c>
      <c r="B166" s="5" t="str">
        <f>"2230305Z1005"</f>
        <v>2230305Z1005</v>
      </c>
      <c r="C166" s="5" t="str">
        <f>"杨济瑗"</f>
        <v>杨济瑗</v>
      </c>
      <c r="D166" s="5" t="str">
        <f>"女"</f>
        <v>女</v>
      </c>
      <c r="E166" s="5" t="str">
        <f>"党的建设"</f>
        <v>党的建设</v>
      </c>
      <c r="F166" s="5" t="str">
        <f>"2023"</f>
        <v>2023</v>
      </c>
      <c r="G166" s="5" t="str">
        <f>"中国近现代史纲要"</f>
        <v>中国近现代史纲要</v>
      </c>
      <c r="H166" s="5" t="str">
        <f>"思想政治课程"</f>
        <v>思想政治课程</v>
      </c>
      <c r="I166" s="5" t="str">
        <f>"周一第5，6节{第1-17周}，周一第7节{第1-17周}"</f>
        <v>周一第5，6节{第1-17周}，周一第7节{第1-17周}</v>
      </c>
      <c r="J166" s="5" t="str">
        <f>"马克思主义学院"</f>
        <v>马克思主义学院</v>
      </c>
      <c r="K166" s="5" t="str">
        <f>"贾国雄"</f>
        <v>贾国雄</v>
      </c>
    </row>
    <row r="167" ht="84" spans="1:11">
      <c r="A167" s="6">
        <v>165</v>
      </c>
      <c r="B167" s="5" t="str">
        <f>"223030505008"</f>
        <v>223030505008</v>
      </c>
      <c r="C167" s="5" t="str">
        <f>"韦美林"</f>
        <v>韦美林</v>
      </c>
      <c r="D167" s="5" t="str">
        <f>"女"</f>
        <v>女</v>
      </c>
      <c r="E167" s="5" t="str">
        <f>"思想政治教育"</f>
        <v>思想政治教育</v>
      </c>
      <c r="F167" s="5" t="str">
        <f>"2023"</f>
        <v>2023</v>
      </c>
      <c r="G167" s="5" t="str">
        <f>"思想道德与法治"</f>
        <v>思想道德与法治</v>
      </c>
      <c r="H167" s="5" t="str">
        <f>"思想政治课程"</f>
        <v>思想政治课程</v>
      </c>
      <c r="I167" s="5" t="str">
        <f>"周五第5，6节{第1-17周}，周五第7节{第1-17周}"</f>
        <v>周五第5，6节{第1-17周}，周五第7节{第1-17周}</v>
      </c>
      <c r="J167" s="5" t="str">
        <f>"马克思主义学院"</f>
        <v>马克思主义学院</v>
      </c>
      <c r="K167" s="5" t="str">
        <f>"谭亚莉"</f>
        <v>谭亚莉</v>
      </c>
    </row>
    <row r="168" ht="120" spans="1:11">
      <c r="A168" s="6">
        <v>166</v>
      </c>
      <c r="B168" s="5" t="str">
        <f>"223020204050"</f>
        <v>223020204050</v>
      </c>
      <c r="C168" s="5" t="str">
        <f>"温新语"</f>
        <v>温新语</v>
      </c>
      <c r="D168" s="5" t="str">
        <f>"女"</f>
        <v>女</v>
      </c>
      <c r="E168" s="5" t="str">
        <f>"金融学"</f>
        <v>金融学</v>
      </c>
      <c r="F168" s="5" t="str">
        <f>"2023"</f>
        <v>2023</v>
      </c>
      <c r="G168" s="5" t="str">
        <f>"数学分析Ⅲ（理科）"</f>
        <v>数学分析Ⅲ（理科）</v>
      </c>
      <c r="H168" s="5" t="str">
        <f>"通识基础课"</f>
        <v>通识基础课</v>
      </c>
      <c r="I168" s="5" t="str">
        <f>"周二第1，2节{第1-17周}，周二第3节{第1-17周}，周四第1，2节{第1-17周}"</f>
        <v>周二第1，2节{第1-17周}，周二第3节{第1-17周}，周四第1，2节{第1-17周}</v>
      </c>
      <c r="J168" s="5" t="str">
        <f>"数学学院"</f>
        <v>数学学院</v>
      </c>
      <c r="K168" s="5" t="str">
        <f>"邓汝良"</f>
        <v>邓汝良</v>
      </c>
    </row>
    <row r="169" ht="84" spans="1:11">
      <c r="A169" s="6">
        <v>167</v>
      </c>
      <c r="B169" s="5" t="str">
        <f>"223020104007"</f>
        <v>223020104007</v>
      </c>
      <c r="C169" s="5" t="str">
        <f>"李瑞茜"</f>
        <v>李瑞茜</v>
      </c>
      <c r="D169" s="5" t="str">
        <f>"女"</f>
        <v>女</v>
      </c>
      <c r="E169" s="5" t="str">
        <f>"西方经济学"</f>
        <v>西方经济学</v>
      </c>
      <c r="F169" s="5" t="str">
        <f>"2023"</f>
        <v>2023</v>
      </c>
      <c r="G169" s="5" t="str">
        <f>"运筹学"</f>
        <v>运筹学</v>
      </c>
      <c r="H169" s="5" t="str">
        <f>"专业方向课"</f>
        <v>专业方向课</v>
      </c>
      <c r="I169" s="5" t="str">
        <f>"周五第1，2节{第1-17周}，周五第3节{第1-17周}"</f>
        <v>周五第1，2节{第1-17周}，周五第3节{第1-17周}</v>
      </c>
      <c r="J169" s="5" t="str">
        <f>"数学学院"</f>
        <v>数学学院</v>
      </c>
      <c r="K169" s="5" t="str">
        <f>"张文燕"</f>
        <v>张文燕</v>
      </c>
    </row>
    <row r="170" ht="84" spans="1:11">
      <c r="A170" s="6">
        <v>168</v>
      </c>
      <c r="B170" s="5" t="str">
        <f>"123020209001"</f>
        <v>123020209001</v>
      </c>
      <c r="C170" s="5" t="str">
        <f>"黄曌洁"</f>
        <v>黄曌洁</v>
      </c>
      <c r="D170" s="5" t="str">
        <f>"女"</f>
        <v>女</v>
      </c>
      <c r="E170" s="5" t="str">
        <f>"数量经济学"</f>
        <v>数量经济学</v>
      </c>
      <c r="F170" s="5" t="str">
        <f>"2023"</f>
        <v>2023</v>
      </c>
      <c r="G170" s="5" t="str">
        <f>"概率论（理科）"</f>
        <v>概率论（理科）</v>
      </c>
      <c r="H170" s="5" t="str">
        <f>"通识基础课"</f>
        <v>通识基础课</v>
      </c>
      <c r="I170" s="5" t="str">
        <f>"周三第3，4节{第1-17周}，周四第3，4节{第1-17周}"</f>
        <v>周三第3，4节{第1-17周}，周四第3，4节{第1-17周}</v>
      </c>
      <c r="J170" s="5" t="str">
        <f>"数学学院"</f>
        <v>数学学院</v>
      </c>
      <c r="K170" s="5" t="str">
        <f>"王鸣晖"</f>
        <v>王鸣晖</v>
      </c>
    </row>
    <row r="171" ht="84" spans="1:11">
      <c r="A171" s="6">
        <v>169</v>
      </c>
      <c r="B171" s="5" t="str">
        <f>"123070100007"</f>
        <v>123070100007</v>
      </c>
      <c r="C171" s="5" t="str">
        <f>"毕快"</f>
        <v>毕快</v>
      </c>
      <c r="D171" s="5" t="str">
        <f>"男"</f>
        <v>男</v>
      </c>
      <c r="E171" s="5" t="str">
        <f>"数学"</f>
        <v>数学</v>
      </c>
      <c r="F171" s="5" t="str">
        <f>"2023"</f>
        <v>2023</v>
      </c>
      <c r="G171" s="5" t="str">
        <f>"常微分方程（英文）"</f>
        <v>常微分方程（英文）</v>
      </c>
      <c r="H171" s="5" t="str">
        <f>"专业必修课"</f>
        <v>专业必修课</v>
      </c>
      <c r="I171" s="5" t="str">
        <f>"周五第5，6节{第1-17周}，周五第7节{第1-17周}"</f>
        <v>周五第5，6节{第1-17周}，周五第7节{第1-17周}</v>
      </c>
      <c r="J171" s="5" t="str">
        <f>"数学学院"</f>
        <v>数学学院</v>
      </c>
      <c r="K171" s="5" t="str">
        <f>"梁之磊"</f>
        <v>梁之磊</v>
      </c>
    </row>
    <row r="172" ht="84" spans="1:11">
      <c r="A172" s="6">
        <v>170</v>
      </c>
      <c r="B172" s="5" t="str">
        <f>"2220202Z1013"</f>
        <v>2220202Z1013</v>
      </c>
      <c r="C172" s="5" t="str">
        <f>"袁野"</f>
        <v>袁野</v>
      </c>
      <c r="D172" s="5" t="str">
        <f>"男"</f>
        <v>男</v>
      </c>
      <c r="E172" s="5" t="str">
        <f>"数理金融学"</f>
        <v>数理金融学</v>
      </c>
      <c r="F172" s="5" t="str">
        <f>"2022"</f>
        <v>2022</v>
      </c>
      <c r="G172" s="5" t="str">
        <f>"运筹学"</f>
        <v>运筹学</v>
      </c>
      <c r="H172" s="5" t="str">
        <f>"大学科基础课"</f>
        <v>大学科基础课</v>
      </c>
      <c r="I172" s="5" t="str">
        <f>"周四第1，2节{第1-17周}，周四第3节{第1-17周}"</f>
        <v>周四第1，2节{第1-17周}，周四第3节{第1-17周}</v>
      </c>
      <c r="J172" s="5" t="str">
        <f>"数学学院"</f>
        <v>数学学院</v>
      </c>
      <c r="K172" s="5" t="str">
        <f>"张文燕"</f>
        <v>张文燕</v>
      </c>
    </row>
    <row r="173" ht="84" spans="1:11">
      <c r="A173" s="6">
        <v>171</v>
      </c>
      <c r="B173" s="5" t="str">
        <f>"1210202Z1005"</f>
        <v>1210202Z1005</v>
      </c>
      <c r="C173" s="5" t="str">
        <f>"庹梦瑶"</f>
        <v>庹梦瑶</v>
      </c>
      <c r="D173" s="5" t="str">
        <f>"女"</f>
        <v>女</v>
      </c>
      <c r="E173" s="5" t="str">
        <f>"数理金融学"</f>
        <v>数理金融学</v>
      </c>
      <c r="F173" s="5" t="str">
        <f>"2021"</f>
        <v>2021</v>
      </c>
      <c r="G173" s="5" t="str">
        <f>"概率论（理科）"</f>
        <v>概率论（理科）</v>
      </c>
      <c r="H173" s="5" t="str">
        <f>"通识基础课"</f>
        <v>通识基础课</v>
      </c>
      <c r="I173" s="5" t="str">
        <f>"周二第3，4节{第1-17周}，周三第1，2节{第1-17周}"</f>
        <v>周二第3，4节{第1-17周}，周三第1，2节{第1-17周}</v>
      </c>
      <c r="J173" s="5" t="str">
        <f>"数学学院"</f>
        <v>数学学院</v>
      </c>
      <c r="K173" s="5" t="str">
        <f>"王鸣晖"</f>
        <v>王鸣晖</v>
      </c>
    </row>
    <row r="174" ht="84" spans="1:11">
      <c r="A174" s="6">
        <v>172</v>
      </c>
      <c r="B174" s="5" t="str">
        <f>"2230202Z1024"</f>
        <v>2230202Z1024</v>
      </c>
      <c r="C174" s="5" t="str">
        <f>"余颖"</f>
        <v>余颖</v>
      </c>
      <c r="D174" s="5" t="str">
        <f>"女"</f>
        <v>女</v>
      </c>
      <c r="E174" s="5" t="str">
        <f>"数理金融学"</f>
        <v>数理金融学</v>
      </c>
      <c r="F174" s="5" t="str">
        <f>"2023"</f>
        <v>2023</v>
      </c>
      <c r="G174" s="5" t="str">
        <f>"一元微积分"</f>
        <v>一元微积分</v>
      </c>
      <c r="H174" s="5" t="str">
        <f>"通识基础课"</f>
        <v>通识基础课</v>
      </c>
      <c r="I174" s="5" t="str">
        <f>"周三第5，6节{第1-17周}，周三第7节{第1-17周}"</f>
        <v>周三第5，6节{第1-17周}，周三第7节{第1-17周}</v>
      </c>
      <c r="J174" s="5" t="str">
        <f>"数学学院"</f>
        <v>数学学院</v>
      </c>
      <c r="K174" s="5" t="str">
        <f>"戴岱"</f>
        <v>戴岱</v>
      </c>
    </row>
    <row r="175" ht="84" spans="1:11">
      <c r="A175" s="6">
        <v>173</v>
      </c>
      <c r="B175" s="5" t="str">
        <f>"2220202Z1009"</f>
        <v>2220202Z1009</v>
      </c>
      <c r="C175" s="5" t="str">
        <f>"朱鑫海"</f>
        <v>朱鑫海</v>
      </c>
      <c r="D175" s="5" t="str">
        <f>"男"</f>
        <v>男</v>
      </c>
      <c r="E175" s="5" t="str">
        <f>"数理金融学"</f>
        <v>数理金融学</v>
      </c>
      <c r="F175" s="5" t="str">
        <f>"2022"</f>
        <v>2022</v>
      </c>
      <c r="G175" s="5" t="str">
        <f>"概率论（理科）"</f>
        <v>概率论（理科）</v>
      </c>
      <c r="H175" s="5" t="str">
        <f>"通识基础课"</f>
        <v>通识基础课</v>
      </c>
      <c r="I175" s="5" t="str">
        <f>"周二第3，4节{第1-17周}，周四第3，4节{第1-17周}"</f>
        <v>周二第3，4节{第1-17周}，周四第3，4节{第1-17周}</v>
      </c>
      <c r="J175" s="5" t="str">
        <f>"数学学院"</f>
        <v>数学学院</v>
      </c>
      <c r="K175" s="5" t="str">
        <f>"徐凤"</f>
        <v>徐凤</v>
      </c>
    </row>
    <row r="176" ht="48" spans="1:11">
      <c r="A176" s="6">
        <v>174</v>
      </c>
      <c r="B176" s="5" t="str">
        <f>"122120203002"</f>
        <v>122120203002</v>
      </c>
      <c r="C176" s="5" t="str">
        <f>"张焱楠"</f>
        <v>张焱楠</v>
      </c>
      <c r="D176" s="5" t="str">
        <f>"女"</f>
        <v>女</v>
      </c>
      <c r="E176" s="5" t="str">
        <f>"旅游管理"</f>
        <v>旅游管理</v>
      </c>
      <c r="F176" s="5" t="str">
        <f>"2022"</f>
        <v>2022</v>
      </c>
      <c r="G176" s="5" t="str">
        <f>"数学分析Ⅱ（理科）"</f>
        <v>数学分析Ⅱ（理科）</v>
      </c>
      <c r="H176" s="5" t="str">
        <f>"通识基础课"</f>
        <v>通识基础课</v>
      </c>
      <c r="I176" s="5" t="str">
        <f>"周四第10，11，12节{第6-16周}"</f>
        <v>周四第10，11，12节{第6-16周}</v>
      </c>
      <c r="J176" s="5" t="str">
        <f>"数学学院"</f>
        <v>数学学院</v>
      </c>
      <c r="K176" s="5" t="str">
        <f>"邓洋"</f>
        <v>邓洋</v>
      </c>
    </row>
    <row r="177" ht="84" spans="1:11">
      <c r="A177" s="6">
        <v>175</v>
      </c>
      <c r="B177" s="5" t="str">
        <f>"2230202Z1002"</f>
        <v>2230202Z1002</v>
      </c>
      <c r="C177" s="5" t="str">
        <f>"成佳佳"</f>
        <v>成佳佳</v>
      </c>
      <c r="D177" s="5" t="str">
        <f>"女"</f>
        <v>女</v>
      </c>
      <c r="E177" s="5" t="str">
        <f>"数理金融学"</f>
        <v>数理金融学</v>
      </c>
      <c r="F177" s="5" t="str">
        <f>"2023"</f>
        <v>2023</v>
      </c>
      <c r="G177" s="5" t="str">
        <f>"概率论（理科）"</f>
        <v>概率论（理科）</v>
      </c>
      <c r="H177" s="5" t="str">
        <f>"通识基础课"</f>
        <v>通识基础课</v>
      </c>
      <c r="I177" s="5" t="str">
        <f>"周一第5，6节{第1-17周}，周三第5，6节{第1-17周}"</f>
        <v>周一第5，6节{第1-17周}，周三第5，6节{第1-17周}</v>
      </c>
      <c r="J177" s="5" t="str">
        <f>"数学学院"</f>
        <v>数学学院</v>
      </c>
      <c r="K177" s="5" t="str">
        <f>"吴萌"</f>
        <v>吴萌</v>
      </c>
    </row>
    <row r="178" ht="84" spans="1:11">
      <c r="A178" s="6">
        <v>176</v>
      </c>
      <c r="B178" s="5" t="str">
        <f>"2230202Z1020"</f>
        <v>2230202Z1020</v>
      </c>
      <c r="C178" s="5" t="str">
        <f>"翟怡寒"</f>
        <v>翟怡寒</v>
      </c>
      <c r="D178" s="5" t="str">
        <f>"女"</f>
        <v>女</v>
      </c>
      <c r="E178" s="5" t="str">
        <f>"数理金融学"</f>
        <v>数理金融学</v>
      </c>
      <c r="F178" s="5" t="str">
        <f>"2023"</f>
        <v>2023</v>
      </c>
      <c r="G178" s="5" t="str">
        <f>"概率论（理科）"</f>
        <v>概率论（理科）</v>
      </c>
      <c r="H178" s="5" t="str">
        <f>"通识基础课"</f>
        <v>通识基础课</v>
      </c>
      <c r="I178" s="5" t="str">
        <f>"周一第3，4节{第1-17周}，周四第3，4节{第1-17周}"</f>
        <v>周一第3，4节{第1-17周}，周四第3，4节{第1-17周}</v>
      </c>
      <c r="J178" s="5" t="str">
        <f>"数学学院"</f>
        <v>数学学院</v>
      </c>
      <c r="K178" s="5" t="str">
        <f>"岳佳"</f>
        <v>岳佳</v>
      </c>
    </row>
    <row r="179" ht="84" spans="1:11">
      <c r="A179" s="6">
        <v>177</v>
      </c>
      <c r="B179" s="5" t="str">
        <f>"223070100002"</f>
        <v>223070100002</v>
      </c>
      <c r="C179" s="5" t="str">
        <f>"倪朕"</f>
        <v>倪朕</v>
      </c>
      <c r="D179" s="5" t="str">
        <f>"男"</f>
        <v>男</v>
      </c>
      <c r="E179" s="5" t="str">
        <f>"数学"</f>
        <v>数学</v>
      </c>
      <c r="F179" s="5" t="str">
        <f>"2023"</f>
        <v>2023</v>
      </c>
      <c r="G179" s="5" t="str">
        <f>"泛函分析"</f>
        <v>泛函分析</v>
      </c>
      <c r="H179" s="5" t="str">
        <f>"专业必修课"</f>
        <v>专业必修课</v>
      </c>
      <c r="I179" s="5" t="str">
        <f>"周五第1，2节{第1-17周}，周五第3节{第1-17周}"</f>
        <v>周五第1，2节{第1-17周}，周五第3节{第1-17周}</v>
      </c>
      <c r="J179" s="5" t="str">
        <f>"数学学院"</f>
        <v>数学学院</v>
      </c>
      <c r="K179" s="5" t="str">
        <f>"邓洋"</f>
        <v>邓洋</v>
      </c>
    </row>
    <row r="180" ht="84" spans="1:11">
      <c r="A180" s="6">
        <v>178</v>
      </c>
      <c r="B180" s="5" t="str">
        <f>"2230202Z1021"</f>
        <v>2230202Z1021</v>
      </c>
      <c r="C180" s="5" t="str">
        <f>"王焕"</f>
        <v>王焕</v>
      </c>
      <c r="D180" s="5" t="str">
        <f>"男"</f>
        <v>男</v>
      </c>
      <c r="E180" s="5" t="str">
        <f>"数理金融学"</f>
        <v>数理金融学</v>
      </c>
      <c r="F180" s="5" t="str">
        <f>"2023"</f>
        <v>2023</v>
      </c>
      <c r="G180" s="5" t="str">
        <f>"概率论（理科）"</f>
        <v>概率论（理科）</v>
      </c>
      <c r="H180" s="5" t="str">
        <f>"通识基础课"</f>
        <v>通识基础课</v>
      </c>
      <c r="I180" s="5" t="str">
        <f>"周二第10，11节{第1-17周}，周四第3，4节{第1-17周}"</f>
        <v>周二第10，11节{第1-17周}，周四第3，4节{第1-17周}</v>
      </c>
      <c r="J180" s="5" t="str">
        <f>"数学学院"</f>
        <v>数学学院</v>
      </c>
      <c r="K180" s="5" t="str">
        <f>"李绍文"</f>
        <v>李绍文</v>
      </c>
    </row>
    <row r="181" ht="144" spans="1:11">
      <c r="A181" s="6">
        <v>179</v>
      </c>
      <c r="B181" s="5" t="str">
        <f>"223070100020"</f>
        <v>223070100020</v>
      </c>
      <c r="C181" s="5" t="str">
        <f>"谌浩航"</f>
        <v>谌浩航</v>
      </c>
      <c r="D181" s="5" t="str">
        <f>"女"</f>
        <v>女</v>
      </c>
      <c r="E181" s="5" t="str">
        <f>"数学"</f>
        <v>数学</v>
      </c>
      <c r="F181" s="5" t="str">
        <f>"2023"</f>
        <v>2023</v>
      </c>
      <c r="G181" s="5" t="str">
        <f>"数学分析Ⅰ（理科）"</f>
        <v>数学分析Ⅰ（理科）</v>
      </c>
      <c r="H181" s="5" t="str">
        <f>"通识基础课"</f>
        <v>通识基础课</v>
      </c>
      <c r="I181" s="5" t="str">
        <f>"周一第10，11，12节{第1-17周}，周四第5，6节{第1-17周}，周四第7节{第1-17周}"</f>
        <v>周一第10，11，12节{第1-17周}，周四第5，6节{第1-17周}，周四第7节{第1-17周}</v>
      </c>
      <c r="J181" s="5" t="str">
        <f>"数学学院"</f>
        <v>数学学院</v>
      </c>
      <c r="K181" s="5" t="str">
        <f>"方敏"</f>
        <v>方敏</v>
      </c>
    </row>
    <row r="182" ht="84" spans="1:11">
      <c r="A182" s="6">
        <v>180</v>
      </c>
      <c r="B182" s="5" t="str">
        <f>"223070100006"</f>
        <v>223070100006</v>
      </c>
      <c r="C182" s="5" t="str">
        <f>"姚伟"</f>
        <v>姚伟</v>
      </c>
      <c r="D182" s="5" t="str">
        <f>"男"</f>
        <v>男</v>
      </c>
      <c r="E182" s="5" t="str">
        <f>"数学"</f>
        <v>数学</v>
      </c>
      <c r="F182" s="5" t="str">
        <f>"2023"</f>
        <v>2023</v>
      </c>
      <c r="G182" s="5" t="str">
        <f>"高等代数Ⅰ"</f>
        <v>高等代数Ⅰ</v>
      </c>
      <c r="H182" s="5" t="str">
        <f>"通识基础课"</f>
        <v>通识基础课</v>
      </c>
      <c r="I182" s="5" t="str">
        <f>"周一第8，9节{第1-17周}，周四第8，9节{第1-17周}"</f>
        <v>周一第8，9节{第1-17周}，周四第8，9节{第1-17周}</v>
      </c>
      <c r="J182" s="5" t="str">
        <f>"数学学院"</f>
        <v>数学学院</v>
      </c>
      <c r="K182" s="5" t="str">
        <f>"高雪梅"</f>
        <v>高雪梅</v>
      </c>
    </row>
    <row r="183" ht="84" spans="1:11">
      <c r="A183" s="6">
        <v>181</v>
      </c>
      <c r="B183" s="5" t="str">
        <f>"2230202Z1023"</f>
        <v>2230202Z1023</v>
      </c>
      <c r="C183" s="5" t="str">
        <f>"邓佳杰"</f>
        <v>邓佳杰</v>
      </c>
      <c r="D183" s="5" t="str">
        <f>"女"</f>
        <v>女</v>
      </c>
      <c r="E183" s="5" t="str">
        <f>"数理金融学"</f>
        <v>数理金融学</v>
      </c>
      <c r="F183" s="5" t="str">
        <f>"2023"</f>
        <v>2023</v>
      </c>
      <c r="G183" s="5" t="str">
        <f>"概率论（理科）"</f>
        <v>概率论（理科）</v>
      </c>
      <c r="H183" s="5" t="str">
        <f>"通识基础课"</f>
        <v>通识基础课</v>
      </c>
      <c r="I183" s="5" t="str">
        <f>"周二第1，2节{第1-17周}，周四第5，6节{第1-17周}"</f>
        <v>周二第1，2节{第1-17周}，周四第5，6节{第1-17周}</v>
      </c>
      <c r="J183" s="5" t="str">
        <f>"数学学院"</f>
        <v>数学学院</v>
      </c>
      <c r="K183" s="5" t="str">
        <f>"李绍文"</f>
        <v>李绍文</v>
      </c>
    </row>
    <row r="184" ht="84" spans="1:11">
      <c r="A184" s="6">
        <v>182</v>
      </c>
      <c r="B184" s="5" t="str">
        <f>"223070100007"</f>
        <v>223070100007</v>
      </c>
      <c r="C184" s="5" t="str">
        <f>"李姚"</f>
        <v>李姚</v>
      </c>
      <c r="D184" s="5" t="str">
        <f>"女"</f>
        <v>女</v>
      </c>
      <c r="E184" s="5" t="str">
        <f>"数学"</f>
        <v>数学</v>
      </c>
      <c r="F184" s="5" t="str">
        <f>"2023"</f>
        <v>2023</v>
      </c>
      <c r="G184" s="5" t="str">
        <f>"高等代数Ⅰ"</f>
        <v>高等代数Ⅰ</v>
      </c>
      <c r="H184" s="5" t="str">
        <f>"通识基础课"</f>
        <v>通识基础课</v>
      </c>
      <c r="I184" s="5" t="str">
        <f>"周一第8，9节{第1-17周}，周四第8，9节{第1-17周}"</f>
        <v>周一第8，9节{第1-17周}，周四第8，9节{第1-17周}</v>
      </c>
      <c r="J184" s="5" t="str">
        <f>"数学学院"</f>
        <v>数学学院</v>
      </c>
      <c r="K184" s="5" t="str">
        <f>"顾先明"</f>
        <v>顾先明</v>
      </c>
    </row>
    <row r="185" ht="120" spans="1:11">
      <c r="A185" s="6">
        <v>183</v>
      </c>
      <c r="B185" s="5" t="str">
        <f>"222070100006"</f>
        <v>222070100006</v>
      </c>
      <c r="C185" s="5" t="str">
        <f>"贾楠"</f>
        <v>贾楠</v>
      </c>
      <c r="D185" s="5" t="str">
        <f>"女"</f>
        <v>女</v>
      </c>
      <c r="E185" s="5" t="str">
        <f>"数学"</f>
        <v>数学</v>
      </c>
      <c r="F185" s="5" t="str">
        <f>"2022"</f>
        <v>2022</v>
      </c>
      <c r="G185" s="5" t="str">
        <f>"高等数学Ⅰ"</f>
        <v>高等数学Ⅰ</v>
      </c>
      <c r="H185" s="5" t="str">
        <f>"通识基础课"</f>
        <v>通识基础课</v>
      </c>
      <c r="I185" s="5" t="str">
        <f>"周二第3，4节{第1-17周}，周四第5，6节{第1-17周}，周四第7节{第1-17周}"</f>
        <v>周二第3，4节{第1-17周}，周四第5，6节{第1-17周}，周四第7节{第1-17周}</v>
      </c>
      <c r="J185" s="5" t="str">
        <f>"数学学院"</f>
        <v>数学学院</v>
      </c>
      <c r="K185" s="5" t="str">
        <f>"李凤英"</f>
        <v>李凤英</v>
      </c>
    </row>
    <row r="186" ht="84" spans="1:11">
      <c r="A186" s="6">
        <v>184</v>
      </c>
      <c r="B186" s="5" t="str">
        <f>"223070100005"</f>
        <v>223070100005</v>
      </c>
      <c r="C186" s="5" t="str">
        <f>"傅连吉"</f>
        <v>傅连吉</v>
      </c>
      <c r="D186" s="5" t="str">
        <f>"男"</f>
        <v>男</v>
      </c>
      <c r="E186" s="5" t="str">
        <f>"数学"</f>
        <v>数学</v>
      </c>
      <c r="F186" s="5" t="str">
        <f>"2023"</f>
        <v>2023</v>
      </c>
      <c r="G186" s="5" t="str">
        <f>"高等代数Ⅰ"</f>
        <v>高等代数Ⅰ</v>
      </c>
      <c r="H186" s="5" t="str">
        <f>"通识基础课"</f>
        <v>通识基础课</v>
      </c>
      <c r="I186" s="5" t="str">
        <f>"周一第3，4节{第1-17周}，周三第3，4节{第1-17周}"</f>
        <v>周一第3，4节{第1-17周}，周三第3，4节{第1-17周}</v>
      </c>
      <c r="J186" s="5" t="str">
        <f>"数学学院"</f>
        <v>数学学院</v>
      </c>
      <c r="K186" s="5" t="str">
        <f>"杜彬彬"</f>
        <v>杜彬彬</v>
      </c>
    </row>
    <row r="187" ht="144" spans="1:11">
      <c r="A187" s="6">
        <v>185</v>
      </c>
      <c r="B187" s="5" t="str">
        <f>"223070100018"</f>
        <v>223070100018</v>
      </c>
      <c r="C187" s="5" t="str">
        <f>"岳苏"</f>
        <v>岳苏</v>
      </c>
      <c r="D187" s="5" t="str">
        <f>"女"</f>
        <v>女</v>
      </c>
      <c r="E187" s="5" t="str">
        <f>"数学"</f>
        <v>数学</v>
      </c>
      <c r="F187" s="5" t="str">
        <f>"2023"</f>
        <v>2023</v>
      </c>
      <c r="G187" s="5" t="str">
        <f>"数学分析Ⅰ"</f>
        <v>数学分析Ⅰ</v>
      </c>
      <c r="H187" s="5" t="str">
        <f>"通识基础课"</f>
        <v>通识基础课</v>
      </c>
      <c r="I187" s="5" t="str">
        <f>"周二第10，11，12节{第1-17周}，周四第1，2节{第1-17周}，周四第3节{第1-17周}"</f>
        <v>周二第10，11，12节{第1-17周}，周四第1，2节{第1-17周}，周四第3节{第1-17周}</v>
      </c>
      <c r="J187" s="5" t="str">
        <f>"数学学院"</f>
        <v>数学学院</v>
      </c>
      <c r="K187" s="5" t="str">
        <f>"李涛"</f>
        <v>李涛</v>
      </c>
    </row>
    <row r="188" ht="84" spans="1:11">
      <c r="A188" s="6">
        <v>186</v>
      </c>
      <c r="B188" s="5" t="str">
        <f>"122020204029"</f>
        <v>122020204029</v>
      </c>
      <c r="C188" s="5" t="str">
        <f>"王苗"</f>
        <v>王苗</v>
      </c>
      <c r="D188" s="5" t="str">
        <f>"女"</f>
        <v>女</v>
      </c>
      <c r="E188" s="5" t="str">
        <f>"金融学"</f>
        <v>金融学</v>
      </c>
      <c r="F188" s="5" t="str">
        <f>"2022"</f>
        <v>2022</v>
      </c>
      <c r="G188" s="5" t="str">
        <f>"优化理论与应用"</f>
        <v>优化理论与应用</v>
      </c>
      <c r="H188" s="5" t="str">
        <f>"专业方向课"</f>
        <v>专业方向课</v>
      </c>
      <c r="I188" s="5" t="str">
        <f>"周一第1，2节{第1-17周}，周一第3节{第1-17周}"</f>
        <v>周一第1，2节{第1-17周}，周一第3节{第1-17周}</v>
      </c>
      <c r="J188" s="5" t="str">
        <f>"数学学院"</f>
        <v>数学学院</v>
      </c>
      <c r="K188" s="5" t="str">
        <f>"张清邦"</f>
        <v>张清邦</v>
      </c>
    </row>
    <row r="189" ht="84" spans="1:11">
      <c r="A189" s="6">
        <v>187</v>
      </c>
      <c r="B189" s="5" t="str">
        <f>"2230202Z1025"</f>
        <v>2230202Z1025</v>
      </c>
      <c r="C189" s="5" t="str">
        <f>"田可望"</f>
        <v>田可望</v>
      </c>
      <c r="D189" s="5" t="str">
        <f>"男"</f>
        <v>男</v>
      </c>
      <c r="E189" s="5" t="str">
        <f>"数理金融学"</f>
        <v>数理金融学</v>
      </c>
      <c r="F189" s="5" t="str">
        <f>"2023"</f>
        <v>2023</v>
      </c>
      <c r="G189" s="5" t="str">
        <f>"高等代数Ⅰ"</f>
        <v>高等代数Ⅰ</v>
      </c>
      <c r="H189" s="5" t="str">
        <f>"自由选修课"</f>
        <v>自由选修课</v>
      </c>
      <c r="I189" s="5" t="str">
        <f>"周一第1，2节{第1-17周}，周二第1，2节{第1-17周}"</f>
        <v>周一第1，2节{第1-17周}，周二第1，2节{第1-17周}</v>
      </c>
      <c r="J189" s="5" t="str">
        <f>"数学学院"</f>
        <v>数学学院</v>
      </c>
      <c r="K189" s="5" t="str">
        <f>"孙云龙"</f>
        <v>孙云龙</v>
      </c>
    </row>
    <row r="190" ht="84" spans="1:11">
      <c r="A190" s="6">
        <v>188</v>
      </c>
      <c r="B190" s="5" t="str">
        <f>"222070100019"</f>
        <v>222070100019</v>
      </c>
      <c r="C190" s="5" t="str">
        <f>"刘泠钰"</f>
        <v>刘泠钰</v>
      </c>
      <c r="D190" s="5" t="str">
        <f>"女"</f>
        <v>女</v>
      </c>
      <c r="E190" s="5" t="str">
        <f>"数学"</f>
        <v>数学</v>
      </c>
      <c r="F190" s="5" t="str">
        <f>"2022"</f>
        <v>2022</v>
      </c>
      <c r="G190" s="5" t="str">
        <f>"高等代数Ⅰ"</f>
        <v>高等代数Ⅰ</v>
      </c>
      <c r="H190" s="5" t="str">
        <f>"通识基础课"</f>
        <v>通识基础课</v>
      </c>
      <c r="I190" s="5" t="str">
        <f>"周一第3，4节{第1-17周}，周二第3，4节{第1-17周}"</f>
        <v>周一第3，4节{第1-17周}，周二第3，4节{第1-17周}</v>
      </c>
      <c r="J190" s="5" t="str">
        <f>"数学学院"</f>
        <v>数学学院</v>
      </c>
      <c r="K190" s="5" t="str">
        <f>"孙云龙"</f>
        <v>孙云龙</v>
      </c>
    </row>
    <row r="191" ht="84" spans="1:11">
      <c r="A191" s="6">
        <v>189</v>
      </c>
      <c r="B191" s="5" t="str">
        <f>"121120100001"</f>
        <v>121120100001</v>
      </c>
      <c r="C191" s="5" t="str">
        <f>"郑茜"</f>
        <v>郑茜</v>
      </c>
      <c r="D191" s="5" t="str">
        <f>"女"</f>
        <v>女</v>
      </c>
      <c r="E191" s="5" t="str">
        <f>"管理科学与工程"</f>
        <v>管理科学与工程</v>
      </c>
      <c r="F191" s="5" t="str">
        <f>"2021"</f>
        <v>2021</v>
      </c>
      <c r="G191" s="5" t="str">
        <f>"概率论（理科）"</f>
        <v>概率论（理科）</v>
      </c>
      <c r="H191" s="5" t="str">
        <f>"通识基础课"</f>
        <v>通识基础课</v>
      </c>
      <c r="I191" s="5" t="str">
        <f>"周三第3，4节{第1-17周}，周四第3，4节{第1-17周}"</f>
        <v>周三第3，4节{第1-17周}，周四第3，4节{第1-17周}</v>
      </c>
      <c r="J191" s="5" t="str">
        <f>"数学学院"</f>
        <v>数学学院</v>
      </c>
      <c r="K191" s="5" t="str">
        <f>"骆川义"</f>
        <v>骆川义</v>
      </c>
    </row>
    <row r="192" ht="84" spans="1:11">
      <c r="A192" s="6">
        <v>190</v>
      </c>
      <c r="B192" s="5" t="str">
        <f>"223070100011"</f>
        <v>223070100011</v>
      </c>
      <c r="C192" s="5" t="str">
        <f>"张丹"</f>
        <v>张丹</v>
      </c>
      <c r="D192" s="5" t="str">
        <f>"女"</f>
        <v>女</v>
      </c>
      <c r="E192" s="5" t="str">
        <f>"数学"</f>
        <v>数学</v>
      </c>
      <c r="F192" s="5" t="str">
        <f>"2023"</f>
        <v>2023</v>
      </c>
      <c r="G192" s="5" t="str">
        <f>"高等代数Ⅰ"</f>
        <v>高等代数Ⅰ</v>
      </c>
      <c r="H192" s="5" t="str">
        <f>"通识基础课"</f>
        <v>通识基础课</v>
      </c>
      <c r="I192" s="5" t="str">
        <f>"周一第1，2节{第1-17周}，周四第1，2节{第1-17周}"</f>
        <v>周一第1，2节{第1-17周}，周四第1，2节{第1-17周}</v>
      </c>
      <c r="J192" s="5" t="str">
        <f>"数学学院"</f>
        <v>数学学院</v>
      </c>
      <c r="K192" s="5" t="str">
        <f>"高雪梅"</f>
        <v>高雪梅</v>
      </c>
    </row>
    <row r="193" ht="84" spans="1:11">
      <c r="A193" s="6">
        <v>191</v>
      </c>
      <c r="B193" s="5" t="str">
        <f>"122020201002"</f>
        <v>122020201002</v>
      </c>
      <c r="C193" s="5" t="str">
        <f>"王平"</f>
        <v>王平</v>
      </c>
      <c r="D193" s="5" t="str">
        <f>"男"</f>
        <v>男</v>
      </c>
      <c r="E193" s="5" t="str">
        <f>"国民经济学"</f>
        <v>国民经济学</v>
      </c>
      <c r="F193" s="5" t="str">
        <f>"2022"</f>
        <v>2022</v>
      </c>
      <c r="G193" s="5" t="str">
        <f>"概率论（理科）"</f>
        <v>概率论（理科）</v>
      </c>
      <c r="H193" s="5" t="str">
        <f>"通识基础课"</f>
        <v>通识基础课</v>
      </c>
      <c r="I193" s="5" t="str">
        <f>"周一第3，4节{第1-17周}，周四第3，4节{第1-17周}"</f>
        <v>周一第3，4节{第1-17周}，周四第3，4节{第1-17周}</v>
      </c>
      <c r="J193" s="5" t="str">
        <f>"数学学院"</f>
        <v>数学学院</v>
      </c>
      <c r="K193" s="5" t="str">
        <f>"黄文毅"</f>
        <v>黄文毅</v>
      </c>
    </row>
    <row r="194" ht="120" spans="1:11">
      <c r="A194" s="6">
        <v>192</v>
      </c>
      <c r="B194" s="5" t="str">
        <f>"222070100024"</f>
        <v>222070100024</v>
      </c>
      <c r="C194" s="5" t="str">
        <f>"毛文富"</f>
        <v>毛文富</v>
      </c>
      <c r="D194" s="5" t="str">
        <f>"男"</f>
        <v>男</v>
      </c>
      <c r="E194" s="5" t="str">
        <f>"数学"</f>
        <v>数学</v>
      </c>
      <c r="F194" s="5" t="str">
        <f>"2022"</f>
        <v>2022</v>
      </c>
      <c r="G194" s="5" t="str">
        <f>"高等数学Ⅰ"</f>
        <v>高等数学Ⅰ</v>
      </c>
      <c r="H194" s="5" t="str">
        <f>"通识基础课"</f>
        <v>通识基础课</v>
      </c>
      <c r="I194" s="5" t="str">
        <f>"周二第1，2节{第1-17周}，周二第3节{第1-17周}，周三第3，4节{第1-17周}"</f>
        <v>周二第1，2节{第1-17周}，周二第3节{第1-17周}，周三第3，4节{第1-17周}</v>
      </c>
      <c r="J194" s="5" t="str">
        <f>"数学学院"</f>
        <v>数学学院</v>
      </c>
      <c r="K194" s="5" t="str">
        <f>"孟开文"</f>
        <v>孟开文</v>
      </c>
    </row>
    <row r="195" ht="120" spans="1:11">
      <c r="A195" s="6">
        <v>193</v>
      </c>
      <c r="B195" s="5" t="str">
        <f>"1221202Z9006"</f>
        <v>1221202Z9006</v>
      </c>
      <c r="C195" s="5" t="str">
        <f>"张桂芳"</f>
        <v>张桂芳</v>
      </c>
      <c r="D195" s="5" t="str">
        <f>"女"</f>
        <v>女</v>
      </c>
      <c r="E195" s="5" t="str">
        <f>"物流与供应链管理"</f>
        <v>物流与供应链管理</v>
      </c>
      <c r="F195" s="5" t="str">
        <f>"2022"</f>
        <v>2022</v>
      </c>
      <c r="G195" s="5" t="str">
        <f>"高等数学Ⅰ"</f>
        <v>高等数学Ⅰ</v>
      </c>
      <c r="H195" s="5" t="str">
        <f>"通识基础课"</f>
        <v>通识基础课</v>
      </c>
      <c r="I195" s="5" t="str">
        <f>"周二第1，2节{第1-17周}，周四第1，2节{第1-17周}，周四第3节{第1-17周}"</f>
        <v>周二第1，2节{第1-17周}，周四第1，2节{第1-17周}，周四第3节{第1-17周}</v>
      </c>
      <c r="J195" s="5" t="str">
        <f>"数学学院"</f>
        <v>数学学院</v>
      </c>
      <c r="K195" s="5" t="str">
        <f>"吴静"</f>
        <v>吴静</v>
      </c>
    </row>
    <row r="196" ht="84" spans="1:11">
      <c r="A196" s="6">
        <v>194</v>
      </c>
      <c r="B196" s="5" t="str">
        <f>"223070100025"</f>
        <v>223070100025</v>
      </c>
      <c r="C196" s="5" t="str">
        <f>"孙文娟"</f>
        <v>孙文娟</v>
      </c>
      <c r="D196" s="5" t="str">
        <f>"女"</f>
        <v>女</v>
      </c>
      <c r="E196" s="5" t="str">
        <f>"数学"</f>
        <v>数学</v>
      </c>
      <c r="F196" s="5" t="str">
        <f>"2023"</f>
        <v>2023</v>
      </c>
      <c r="G196" s="5" t="str">
        <f>"数值计算软件"</f>
        <v>数值计算软件</v>
      </c>
      <c r="H196" s="5" t="str">
        <f>"专业必修课"</f>
        <v>专业必修课</v>
      </c>
      <c r="I196" s="5" t="str">
        <f>"周一第1，2节{第1-17周}，周一第3节{第1-17周}"</f>
        <v>周一第1，2节{第1-17周}，周一第3节{第1-17周}</v>
      </c>
      <c r="J196" s="5" t="str">
        <f>"数学学院"</f>
        <v>数学学院</v>
      </c>
      <c r="K196" s="5" t="str">
        <f>"张昕"</f>
        <v>张昕</v>
      </c>
    </row>
    <row r="197" ht="84" spans="1:11">
      <c r="A197" s="6">
        <v>195</v>
      </c>
      <c r="B197" s="5" t="str">
        <f>"2230202Z1006"</f>
        <v>2230202Z1006</v>
      </c>
      <c r="C197" s="5" t="str">
        <f>"杨传旺"</f>
        <v>杨传旺</v>
      </c>
      <c r="D197" s="5" t="str">
        <f>"男"</f>
        <v>男</v>
      </c>
      <c r="E197" s="5" t="str">
        <f>"数理金融学"</f>
        <v>数理金融学</v>
      </c>
      <c r="F197" s="5" t="str">
        <f>"2023"</f>
        <v>2023</v>
      </c>
      <c r="G197" s="5" t="str">
        <f>"概率论（理科）"</f>
        <v>概率论（理科）</v>
      </c>
      <c r="H197" s="5" t="str">
        <f>"通识基础课"</f>
        <v>通识基础课</v>
      </c>
      <c r="I197" s="5" t="str">
        <f>"周二第3，4节{第1-17周}，周四第8，9节{第1-17周}"</f>
        <v>周二第3，4节{第1-17周}，周四第8，9节{第1-17周}</v>
      </c>
      <c r="J197" s="5" t="str">
        <f>"数学学院"</f>
        <v>数学学院</v>
      </c>
      <c r="K197" s="5" t="str">
        <f>"李绍文"</f>
        <v>李绍文</v>
      </c>
    </row>
    <row r="198" ht="84" spans="1:11">
      <c r="A198" s="6">
        <v>196</v>
      </c>
      <c r="B198" s="5" t="str">
        <f>"1230202Z1001"</f>
        <v>1230202Z1001</v>
      </c>
      <c r="C198" s="5" t="str">
        <f>"刘俊廷"</f>
        <v>刘俊廷</v>
      </c>
      <c r="D198" s="5" t="str">
        <f>"男"</f>
        <v>男</v>
      </c>
      <c r="E198" s="5" t="str">
        <f>"数理金融学"</f>
        <v>数理金融学</v>
      </c>
      <c r="F198" s="5" t="str">
        <f>"2023"</f>
        <v>2023</v>
      </c>
      <c r="G198" s="5" t="str">
        <f>"概率论（理科）"</f>
        <v>概率论（理科）</v>
      </c>
      <c r="H198" s="5" t="str">
        <f>"通识基础课"</f>
        <v>通识基础课</v>
      </c>
      <c r="I198" s="5" t="str">
        <f>"周一第8，9节{第1-17周}，周四第8，9节{第1-17周}"</f>
        <v>周一第8，9节{第1-17周}，周四第8，9节{第1-17周}</v>
      </c>
      <c r="J198" s="5" t="str">
        <f>"数学学院"</f>
        <v>数学学院</v>
      </c>
      <c r="K198" s="5" t="str">
        <f>"赖绍永"</f>
        <v>赖绍永</v>
      </c>
    </row>
    <row r="199" ht="120" spans="1:11">
      <c r="A199" s="6">
        <v>197</v>
      </c>
      <c r="B199" s="5" t="str">
        <f>"1210202Z1002"</f>
        <v>1210202Z1002</v>
      </c>
      <c r="C199" s="5" t="str">
        <f>"吴皓斐"</f>
        <v>吴皓斐</v>
      </c>
      <c r="D199" s="5" t="str">
        <f>"男"</f>
        <v>男</v>
      </c>
      <c r="E199" s="5" t="str">
        <f>"数理金融学"</f>
        <v>数理金融学</v>
      </c>
      <c r="F199" s="5" t="str">
        <f>"2021"</f>
        <v>2021</v>
      </c>
      <c r="G199" s="5" t="str">
        <f>"高等代数Ⅰ"</f>
        <v>高等代数Ⅰ</v>
      </c>
      <c r="H199" s="5" t="str">
        <f>"通识基础课"</f>
        <v>通识基础课</v>
      </c>
      <c r="I199" s="5" t="str">
        <f>"周一第5，6节{第1-17周}，周四第6节{第1-17周}，周四第7节{第1-17周}"</f>
        <v>周一第5，6节{第1-17周}，周四第6节{第1-17周}，周四第7节{第1-17周}</v>
      </c>
      <c r="J199" s="5" t="str">
        <f>"数学学院"</f>
        <v>数学学院</v>
      </c>
      <c r="K199" s="5" t="str">
        <f>"杨文昇"</f>
        <v>杨文昇</v>
      </c>
    </row>
    <row r="200" ht="84" spans="1:11">
      <c r="A200" s="6">
        <v>198</v>
      </c>
      <c r="B200" s="5" t="str">
        <f>"1220202Z1001"</f>
        <v>1220202Z1001</v>
      </c>
      <c r="C200" s="5" t="str">
        <f>"汪代薪"</f>
        <v>汪代薪</v>
      </c>
      <c r="D200" s="5" t="str">
        <f>"男"</f>
        <v>男</v>
      </c>
      <c r="E200" s="5" t="str">
        <f>"数理金融学"</f>
        <v>数理金融学</v>
      </c>
      <c r="F200" s="5" t="str">
        <f>"2022"</f>
        <v>2022</v>
      </c>
      <c r="G200" s="5" t="str">
        <f>"概率论（理科）"</f>
        <v>概率论（理科）</v>
      </c>
      <c r="H200" s="5" t="str">
        <f>"通识基础课"</f>
        <v>通识基础课</v>
      </c>
      <c r="I200" s="5" t="str">
        <f>"周一第3，4节{第1-17周}，周四第3，4节{第1-17周}"</f>
        <v>周一第3，4节{第1-17周}，周四第3，4节{第1-17周}</v>
      </c>
      <c r="J200" s="5" t="str">
        <f>"数学学院"</f>
        <v>数学学院</v>
      </c>
      <c r="K200" s="5" t="str">
        <f>"赖绍永"</f>
        <v>赖绍永</v>
      </c>
    </row>
    <row r="201" ht="84" spans="1:11">
      <c r="A201" s="6">
        <v>199</v>
      </c>
      <c r="B201" s="5" t="str">
        <f>"2230202Z2020"</f>
        <v>2230202Z2020</v>
      </c>
      <c r="C201" s="5" t="str">
        <f>"楼叶飞"</f>
        <v>楼叶飞</v>
      </c>
      <c r="D201" s="5" t="str">
        <f>"男"</f>
        <v>男</v>
      </c>
      <c r="E201" s="5" t="str">
        <f>"金融工程"</f>
        <v>金融工程</v>
      </c>
      <c r="F201" s="5" t="str">
        <f>"2023"</f>
        <v>2023</v>
      </c>
      <c r="G201" s="5" t="str">
        <f>"金融衍生品定价"</f>
        <v>金融衍生品定价</v>
      </c>
      <c r="H201" s="5" t="str">
        <f>"专业必修课"</f>
        <v>专业必修课</v>
      </c>
      <c r="I201" s="5" t="str">
        <f>"周五第1，2节{第1-17周}，周五第3节{第1-17周}"</f>
        <v>周五第1，2节{第1-17周}，周五第3节{第1-17周}</v>
      </c>
      <c r="J201" s="5" t="str">
        <f>"数学学院"</f>
        <v>数学学院</v>
      </c>
      <c r="K201" s="5" t="str">
        <f>"余喜生"</f>
        <v>余喜生</v>
      </c>
    </row>
    <row r="202" ht="84" spans="1:11">
      <c r="A202" s="6">
        <v>200</v>
      </c>
      <c r="B202" s="5" t="str">
        <f>"1210202Z1003"</f>
        <v>1210202Z1003</v>
      </c>
      <c r="C202" s="5" t="str">
        <f>"吴祥麟"</f>
        <v>吴祥麟</v>
      </c>
      <c r="D202" s="5" t="str">
        <f>"男"</f>
        <v>男</v>
      </c>
      <c r="E202" s="5" t="str">
        <f>"数理金融学"</f>
        <v>数理金融学</v>
      </c>
      <c r="F202" s="5" t="str">
        <f>"2021"</f>
        <v>2021</v>
      </c>
      <c r="G202" s="5" t="str">
        <f>"概率论（理科）"</f>
        <v>概率论（理科）</v>
      </c>
      <c r="H202" s="5" t="str">
        <f>"通识基础课"</f>
        <v>通识基础课</v>
      </c>
      <c r="I202" s="5" t="str">
        <f>"周二第1，2节{第1-17周}，周四第1，2节{第1-17周}"</f>
        <v>周二第1，2节{第1-17周}，周四第1，2节{第1-17周}</v>
      </c>
      <c r="J202" s="5" t="str">
        <f>"数学学院"</f>
        <v>数学学院</v>
      </c>
      <c r="K202" s="5" t="str">
        <f>"王鸣晖"</f>
        <v>王鸣晖</v>
      </c>
    </row>
    <row r="203" ht="84" spans="1:11">
      <c r="A203" s="6">
        <v>201</v>
      </c>
      <c r="B203" s="5" t="str">
        <f>"2230202Z1017"</f>
        <v>2230202Z1017</v>
      </c>
      <c r="C203" s="5" t="str">
        <f>"王艺凝"</f>
        <v>王艺凝</v>
      </c>
      <c r="D203" s="5" t="str">
        <f>"女"</f>
        <v>女</v>
      </c>
      <c r="E203" s="5" t="str">
        <f>"数理金融学"</f>
        <v>数理金融学</v>
      </c>
      <c r="F203" s="5" t="str">
        <f>"2023"</f>
        <v>2023</v>
      </c>
      <c r="G203" s="5" t="str">
        <f>"概率论（理科）"</f>
        <v>概率论（理科）</v>
      </c>
      <c r="H203" s="5" t="str">
        <f>"通识基础课"</f>
        <v>通识基础课</v>
      </c>
      <c r="I203" s="5" t="str">
        <f>"周一第8，9节{第1-17周}，周二第3，4节{第1-17周}"</f>
        <v>周一第8，9节{第1-17周}，周二第3，4节{第1-17周}</v>
      </c>
      <c r="J203" s="5" t="str">
        <f>"数学学院"</f>
        <v>数学学院</v>
      </c>
      <c r="K203" s="5" t="str">
        <f>"杨扬"</f>
        <v>杨扬</v>
      </c>
    </row>
    <row r="204" ht="144" spans="1:11">
      <c r="A204" s="6">
        <v>202</v>
      </c>
      <c r="B204" s="5" t="str">
        <f>"1220202Z1009"</f>
        <v>1220202Z1009</v>
      </c>
      <c r="C204" s="5" t="str">
        <f>"孙溶镁"</f>
        <v>孙溶镁</v>
      </c>
      <c r="D204" s="5" t="str">
        <f>"女"</f>
        <v>女</v>
      </c>
      <c r="E204" s="5" t="str">
        <f>"数理金融学"</f>
        <v>数理金融学</v>
      </c>
      <c r="F204" s="5" t="str">
        <f>"2022"</f>
        <v>2022</v>
      </c>
      <c r="G204" s="5" t="str">
        <f>"概率论（理科）"</f>
        <v>概率论（理科）</v>
      </c>
      <c r="H204" s="5" t="str">
        <f>"通识基础课"</f>
        <v>通识基础课</v>
      </c>
      <c r="I204" s="5" t="str">
        <f>"周一第6节{第1-17周}，周一第7节{第1-17周}，周四第6节{第1-17周}，周四第7节{第1-17周}"</f>
        <v>周一第6节{第1-17周}，周一第7节{第1-17周}，周四第6节{第1-17周}，周四第7节{第1-17周}</v>
      </c>
      <c r="J204" s="5" t="str">
        <f>"数学学院"</f>
        <v>数学学院</v>
      </c>
      <c r="K204" s="5" t="str">
        <f>"黄文毅"</f>
        <v>黄文毅</v>
      </c>
    </row>
    <row r="205" ht="120" spans="1:11">
      <c r="A205" s="6">
        <v>203</v>
      </c>
      <c r="B205" s="5" t="str">
        <f>"222070100002"</f>
        <v>222070100002</v>
      </c>
      <c r="C205" s="5" t="str">
        <f>"俞孟君"</f>
        <v>俞孟君</v>
      </c>
      <c r="D205" s="5" t="str">
        <f>"女"</f>
        <v>女</v>
      </c>
      <c r="E205" s="5" t="str">
        <f>"数学"</f>
        <v>数学</v>
      </c>
      <c r="F205" s="5" t="str">
        <f>"2022"</f>
        <v>2022</v>
      </c>
      <c r="G205" s="5" t="str">
        <f>"高等数学Ⅰ"</f>
        <v>高等数学Ⅰ</v>
      </c>
      <c r="H205" s="5" t="str">
        <f>"通识基础课"</f>
        <v>通识基础课</v>
      </c>
      <c r="I205" s="5" t="str">
        <f>"周二第1，2节{第1-17周}，周四第1，2节{第1-17周}，周四第3节{第1-17周}"</f>
        <v>周二第1，2节{第1-17周}，周四第1，2节{第1-17周}，周四第3节{第1-17周}</v>
      </c>
      <c r="J205" s="5" t="str">
        <f>"数学学院"</f>
        <v>数学学院</v>
      </c>
      <c r="K205" s="5" t="str">
        <f>"李凤英"</f>
        <v>李凤英</v>
      </c>
    </row>
    <row r="206" ht="84" spans="1:11">
      <c r="A206" s="6">
        <v>204</v>
      </c>
      <c r="B206" s="5" t="str">
        <f>"222020204079"</f>
        <v>222020204079</v>
      </c>
      <c r="C206" s="5" t="str">
        <f>"侯佳一"</f>
        <v>侯佳一</v>
      </c>
      <c r="D206" s="5" t="str">
        <f>"男"</f>
        <v>男</v>
      </c>
      <c r="E206" s="5" t="str">
        <f>"金融学"</f>
        <v>金融学</v>
      </c>
      <c r="F206" s="5" t="str">
        <f>"2022"</f>
        <v>2022</v>
      </c>
      <c r="G206" s="5" t="str">
        <f>"概率论（理科）"</f>
        <v>概率论（理科）</v>
      </c>
      <c r="H206" s="5" t="str">
        <f>"通识基础课"</f>
        <v>通识基础课</v>
      </c>
      <c r="I206" s="5" t="str">
        <f>"周二第1，2节{第1-17周}，周四第1，2节{第1-17周}"</f>
        <v>周二第1，2节{第1-17周}，周四第1，2节{第1-17周}</v>
      </c>
      <c r="J206" s="5" t="str">
        <f>"数学学院"</f>
        <v>数学学院</v>
      </c>
      <c r="K206" s="5" t="str">
        <f>"徐凤"</f>
        <v>徐凤</v>
      </c>
    </row>
    <row r="207" ht="84" spans="1:11">
      <c r="A207" s="6">
        <v>205</v>
      </c>
      <c r="B207" s="5" t="str">
        <f>"123020204023"</f>
        <v>123020204023</v>
      </c>
      <c r="C207" s="5" t="str">
        <f>"白金枝"</f>
        <v>白金枝</v>
      </c>
      <c r="D207" s="5" t="str">
        <f>"女"</f>
        <v>女</v>
      </c>
      <c r="E207" s="5" t="str">
        <f>"金融学"</f>
        <v>金融学</v>
      </c>
      <c r="F207" s="5" t="str">
        <f>"2023"</f>
        <v>2023</v>
      </c>
      <c r="G207" s="5" t="str">
        <f>"随机过程"</f>
        <v>随机过程</v>
      </c>
      <c r="H207" s="5" t="str">
        <f>"大学科基础课"</f>
        <v>大学科基础课</v>
      </c>
      <c r="I207" s="5" t="str">
        <f>"周三第7节{第1-17周}，周三第8，9节{第1-17周}"</f>
        <v>周三第7节{第1-17周}，周三第8，9节{第1-17周}</v>
      </c>
      <c r="J207" s="5" t="str">
        <f>"数学学院"</f>
        <v>数学学院</v>
      </c>
      <c r="K207" s="5" t="str">
        <f>"骆川义"</f>
        <v>骆川义</v>
      </c>
    </row>
    <row r="208" ht="84" spans="1:11">
      <c r="A208" s="6">
        <v>206</v>
      </c>
      <c r="B208" s="5" t="str">
        <f>"2220202Z1021"</f>
        <v>2220202Z1021</v>
      </c>
      <c r="C208" s="5" t="str">
        <f>"钟敏雯"</f>
        <v>钟敏雯</v>
      </c>
      <c r="D208" s="5" t="str">
        <f>"女"</f>
        <v>女</v>
      </c>
      <c r="E208" s="5" t="str">
        <f>"数理金融学"</f>
        <v>数理金融学</v>
      </c>
      <c r="F208" s="5" t="str">
        <f>"2022"</f>
        <v>2022</v>
      </c>
      <c r="G208" s="5" t="str">
        <f>"高等代数Ⅰ（理科）"</f>
        <v>高等代数Ⅰ（理科）</v>
      </c>
      <c r="H208" s="5" t="str">
        <f>"通识基础课"</f>
        <v>通识基础课</v>
      </c>
      <c r="I208" s="5" t="str">
        <f>"周一第8，9节{第1-17周}，周三第1，2节{第1-17周}"</f>
        <v>周一第8，9节{第1-17周}，周三第1，2节{第1-17周}</v>
      </c>
      <c r="J208" s="5" t="str">
        <f>"数学学院"</f>
        <v>数学学院</v>
      </c>
      <c r="K208" s="5" t="str">
        <f>"赵建容"</f>
        <v>赵建容</v>
      </c>
    </row>
    <row r="209" ht="120" spans="1:11">
      <c r="A209" s="6">
        <v>207</v>
      </c>
      <c r="B209" s="5" t="str">
        <f>"222070100003"</f>
        <v>222070100003</v>
      </c>
      <c r="C209" s="5" t="str">
        <f>"王辰旭"</f>
        <v>王辰旭</v>
      </c>
      <c r="D209" s="5" t="str">
        <f>"男"</f>
        <v>男</v>
      </c>
      <c r="E209" s="5" t="str">
        <f>"数学"</f>
        <v>数学</v>
      </c>
      <c r="F209" s="5" t="str">
        <f>"2022"</f>
        <v>2022</v>
      </c>
      <c r="G209" s="5" t="str">
        <f>"高等代数Ⅰ（理科）"</f>
        <v>高等代数Ⅰ（理科）</v>
      </c>
      <c r="H209" s="5" t="str">
        <f>"通识基础课"</f>
        <v>通识基础课</v>
      </c>
      <c r="I209" s="5" t="str">
        <f>"周一第5，6节{第1-17周}，周三第6节{第1-17周}，周三第7节{第1-17周}"</f>
        <v>周一第5，6节{第1-17周}，周三第6节{第1-17周}，周三第7节{第1-17周}</v>
      </c>
      <c r="J209" s="5" t="str">
        <f>"数学学院"</f>
        <v>数学学院</v>
      </c>
      <c r="K209" s="5" t="str">
        <f>"赵建容"</f>
        <v>赵建容</v>
      </c>
    </row>
    <row r="210" ht="156" spans="1:11">
      <c r="A210" s="6">
        <v>208</v>
      </c>
      <c r="B210" s="5" t="str">
        <f>"223070100021"</f>
        <v>223070100021</v>
      </c>
      <c r="C210" s="5" t="str">
        <f>"刘伟"</f>
        <v>刘伟</v>
      </c>
      <c r="D210" s="5" t="str">
        <f>"男"</f>
        <v>男</v>
      </c>
      <c r="E210" s="5" t="str">
        <f>"数学"</f>
        <v>数学</v>
      </c>
      <c r="F210" s="5" t="str">
        <f>"2023"</f>
        <v>2023</v>
      </c>
      <c r="G210" s="5" t="str">
        <f>"高等数学Ⅰ"</f>
        <v>高等数学Ⅰ</v>
      </c>
      <c r="H210" s="5" t="str">
        <f>"通识基础课"</f>
        <v>通识基础课</v>
      </c>
      <c r="I210" s="5" t="str">
        <f>"周一第5，6节{第1-17周}，周三第6节{第1-17周}，周三第7节{第1-17周}，周三第8节{第1-17周}"</f>
        <v>周一第5，6节{第1-17周}，周三第6节{第1-17周}，周三第7节{第1-17周}，周三第8节{第1-17周}</v>
      </c>
      <c r="J210" s="5" t="str">
        <f>"数学学院"</f>
        <v>数学学院</v>
      </c>
      <c r="K210" s="5" t="str">
        <f>"王磊"</f>
        <v>王磊</v>
      </c>
    </row>
    <row r="211" ht="120" spans="1:11">
      <c r="A211" s="6">
        <v>209</v>
      </c>
      <c r="B211" s="5" t="str">
        <f>"1210202Z1010"</f>
        <v>1210202Z1010</v>
      </c>
      <c r="C211" s="5" t="str">
        <f>"冯泽宇"</f>
        <v>冯泽宇</v>
      </c>
      <c r="D211" s="5" t="str">
        <f>"男"</f>
        <v>男</v>
      </c>
      <c r="E211" s="5" t="str">
        <f>"数理金融学"</f>
        <v>数理金融学</v>
      </c>
      <c r="F211" s="5" t="str">
        <f>"2021"</f>
        <v>2021</v>
      </c>
      <c r="G211" s="5" t="str">
        <f>"高等数学Ⅰ"</f>
        <v>高等数学Ⅰ</v>
      </c>
      <c r="H211" s="5" t="str">
        <f>"通识基础课"</f>
        <v>通识基础课</v>
      </c>
      <c r="I211" s="5" t="str">
        <f>"周一第5，6节{第1-17周}，周一第7节{第1-17周}，周三第1，2节{第1-17周}"</f>
        <v>周一第5，6节{第1-17周}，周一第7节{第1-17周}，周三第1，2节{第1-17周}</v>
      </c>
      <c r="J211" s="5" t="str">
        <f>"数学学院"</f>
        <v>数学学院</v>
      </c>
      <c r="K211" s="5" t="str">
        <f>"孟开文"</f>
        <v>孟开文</v>
      </c>
    </row>
    <row r="212" ht="108" spans="1:11">
      <c r="A212" s="6">
        <v>210</v>
      </c>
      <c r="B212" s="5" t="str">
        <f>"123020204013"</f>
        <v>123020204013</v>
      </c>
      <c r="C212" s="5" t="str">
        <f>"李桂鋆"</f>
        <v>李桂鋆</v>
      </c>
      <c r="D212" s="5" t="str">
        <f>"女"</f>
        <v>女</v>
      </c>
      <c r="E212" s="5" t="str">
        <f>"金融学"</f>
        <v>金融学</v>
      </c>
      <c r="F212" s="5" t="str">
        <f>"2023"</f>
        <v>2023</v>
      </c>
      <c r="G212" s="5" t="str">
        <f>"数学分析Ⅲ（理科）"</f>
        <v>数学分析Ⅲ（理科）</v>
      </c>
      <c r="H212" s="5" t="str">
        <f>"大学科基础课"</f>
        <v>大学科基础课</v>
      </c>
      <c r="I212" s="5" t="str">
        <f>"周二第10，11，12节{第1-17周}，周四第3，4节{第1-17周}"</f>
        <v>周二第10，11，12节{第1-17周}，周四第3，4节{第1-17周}</v>
      </c>
      <c r="J212" s="5" t="str">
        <f>"数学学院"</f>
        <v>数学学院</v>
      </c>
      <c r="K212" s="5" t="str">
        <f>"邓汝良"</f>
        <v>邓汝良</v>
      </c>
    </row>
    <row r="213" ht="84" spans="1:11">
      <c r="A213" s="6">
        <v>211</v>
      </c>
      <c r="B213" s="5" t="str">
        <f>"2220202Z1011"</f>
        <v>2220202Z1011</v>
      </c>
      <c r="C213" s="5" t="str">
        <f>"李帅龙"</f>
        <v>李帅龙</v>
      </c>
      <c r="D213" s="5" t="str">
        <f>"男"</f>
        <v>男</v>
      </c>
      <c r="E213" s="5" t="str">
        <f>"数理金融学"</f>
        <v>数理金融学</v>
      </c>
      <c r="F213" s="5" t="str">
        <f>"2022"</f>
        <v>2022</v>
      </c>
      <c r="G213" s="5" t="str">
        <f>"高等代数Ⅰ"</f>
        <v>高等代数Ⅰ</v>
      </c>
      <c r="H213" s="5" t="str">
        <f>"通识基础课"</f>
        <v>通识基础课</v>
      </c>
      <c r="I213" s="5" t="str">
        <f>"周一第1，2节{第1-17周}，周三第1，2节{第1-17周}"</f>
        <v>周一第1，2节{第1-17周}，周三第1，2节{第1-17周}</v>
      </c>
      <c r="J213" s="5" t="str">
        <f>"数学学院"</f>
        <v>数学学院</v>
      </c>
      <c r="K213" s="5" t="str">
        <f>"李静"</f>
        <v>李静</v>
      </c>
    </row>
    <row r="214" ht="120" spans="1:11">
      <c r="A214" s="6">
        <v>212</v>
      </c>
      <c r="B214" s="5" t="str">
        <f>"119020204017"</f>
        <v>119020204017</v>
      </c>
      <c r="C214" s="5" t="str">
        <f>"乐海波"</f>
        <v>乐海波</v>
      </c>
      <c r="D214" s="5" t="str">
        <f>"男"</f>
        <v>男</v>
      </c>
      <c r="E214" s="5" t="str">
        <f>"金融学"</f>
        <v>金融学</v>
      </c>
      <c r="F214" s="5" t="str">
        <f>"2019"</f>
        <v>2019</v>
      </c>
      <c r="G214" s="5" t="str">
        <f>"数学分析Ⅲ（理科）"</f>
        <v>数学分析Ⅲ（理科）</v>
      </c>
      <c r="H214" s="5" t="str">
        <f>"通识基础课"</f>
        <v>通识基础课</v>
      </c>
      <c r="I214" s="5" t="str">
        <f>"周二第1，2节{第1-17周}，周二第3节{第1-17周}，周四第5，6节{第1-17周}"</f>
        <v>周二第1，2节{第1-17周}，周二第3节{第1-17周}，周四第5，6节{第1-17周}</v>
      </c>
      <c r="J214" s="5" t="str">
        <f>"数学学院"</f>
        <v>数学学院</v>
      </c>
      <c r="K214" s="5" t="str">
        <f>"陈小平"</f>
        <v>陈小平</v>
      </c>
    </row>
    <row r="215" ht="84" spans="1:11">
      <c r="A215" s="6">
        <v>213</v>
      </c>
      <c r="B215" s="5" t="str">
        <f>"222070100007"</f>
        <v>222070100007</v>
      </c>
      <c r="C215" s="5" t="str">
        <f>"辛琪"</f>
        <v>辛琪</v>
      </c>
      <c r="D215" s="5" t="str">
        <f>"男"</f>
        <v>男</v>
      </c>
      <c r="E215" s="5" t="str">
        <f>"数学"</f>
        <v>数学</v>
      </c>
      <c r="F215" s="5" t="str">
        <f>"2022"</f>
        <v>2022</v>
      </c>
      <c r="G215" s="5" t="str">
        <f>"高等代数Ⅰ"</f>
        <v>高等代数Ⅰ</v>
      </c>
      <c r="H215" s="5" t="str">
        <f>"通识基础课"</f>
        <v>通识基础课</v>
      </c>
      <c r="I215" s="5" t="str">
        <f>"周一第1，2节{第1-17周}，周三第1，2节{第1-17周}"</f>
        <v>周一第1，2节{第1-17周}，周三第1，2节{第1-17周}</v>
      </c>
      <c r="J215" s="5" t="str">
        <f>"数学学院"</f>
        <v>数学学院</v>
      </c>
      <c r="K215" s="5" t="str">
        <f>"杜彬彬"</f>
        <v>杜彬彬</v>
      </c>
    </row>
    <row r="216" ht="84" spans="1:11">
      <c r="A216" s="6">
        <v>214</v>
      </c>
      <c r="B216" s="5" t="str">
        <f>"1210202Z1012"</f>
        <v>1210202Z1012</v>
      </c>
      <c r="C216" s="5" t="str">
        <f>"钟林霏"</f>
        <v>钟林霏</v>
      </c>
      <c r="D216" s="5" t="str">
        <f>"男"</f>
        <v>男</v>
      </c>
      <c r="E216" s="5" t="str">
        <f>"数理金融学"</f>
        <v>数理金融学</v>
      </c>
      <c r="F216" s="5" t="str">
        <f>"2021"</f>
        <v>2021</v>
      </c>
      <c r="G216" s="5" t="str">
        <f>"概率论（理科）"</f>
        <v>概率论（理科）</v>
      </c>
      <c r="H216" s="5" t="str">
        <f>"通识基础课"</f>
        <v>通识基础课</v>
      </c>
      <c r="I216" s="5" t="str">
        <f>"周二第3，4节{第1-17周}，周四第1，2节{第1-17周}"</f>
        <v>周二第3，4节{第1-17周}，周四第1，2节{第1-17周}</v>
      </c>
      <c r="J216" s="5" t="str">
        <f>"数学学院"</f>
        <v>数学学院</v>
      </c>
      <c r="K216" s="5" t="str">
        <f>"马捷"</f>
        <v>马捷</v>
      </c>
    </row>
    <row r="217" ht="48" spans="1:11">
      <c r="A217" s="6">
        <v>215</v>
      </c>
      <c r="B217" s="5" t="str">
        <f>"121020201001"</f>
        <v>121020201001</v>
      </c>
      <c r="C217" s="5" t="str">
        <f>"邹粉菊"</f>
        <v>邹粉菊</v>
      </c>
      <c r="D217" s="5" t="str">
        <f>"女"</f>
        <v>女</v>
      </c>
      <c r="E217" s="5" t="str">
        <f>"国民经济学"</f>
        <v>国民经济学</v>
      </c>
      <c r="F217" s="5" t="str">
        <f>"2021"</f>
        <v>2021</v>
      </c>
      <c r="G217" s="5" t="str">
        <f>"数值分析"</f>
        <v>数值分析</v>
      </c>
      <c r="H217" s="5" t="str">
        <f>"自由选修课"</f>
        <v>自由选修课</v>
      </c>
      <c r="I217" s="5" t="str">
        <f>"周一第5，6，7节{第1-17周}"</f>
        <v>周一第5，6，7节{第1-17周}</v>
      </c>
      <c r="J217" s="5" t="str">
        <f>"数学学院"</f>
        <v>数学学院</v>
      </c>
      <c r="K217" s="5" t="str">
        <f>"林一丁"</f>
        <v>林一丁</v>
      </c>
    </row>
    <row r="218" ht="84" spans="1:11">
      <c r="A218" s="6">
        <v>216</v>
      </c>
      <c r="B218" s="5" t="str">
        <f>"1210202Z1004"</f>
        <v>1210202Z1004</v>
      </c>
      <c r="C218" s="5" t="str">
        <f>"李露"</f>
        <v>李露</v>
      </c>
      <c r="D218" s="5" t="str">
        <f>"女"</f>
        <v>女</v>
      </c>
      <c r="E218" s="5" t="str">
        <f>"数理金融学"</f>
        <v>数理金融学</v>
      </c>
      <c r="F218" s="5" t="str">
        <f>"2021"</f>
        <v>2021</v>
      </c>
      <c r="G218" s="5" t="str">
        <f>"运筹学"</f>
        <v>运筹学</v>
      </c>
      <c r="H218" s="5" t="str">
        <f>"专业必修课"</f>
        <v>专业必修课</v>
      </c>
      <c r="I218" s="5" t="str">
        <f>"周五第7节{第1-17周}，周五第8，9节{第1-17周}"</f>
        <v>周五第7节{第1-17周}，周五第8，9节{第1-17周}</v>
      </c>
      <c r="J218" s="5" t="str">
        <f>"数学学院"</f>
        <v>数学学院</v>
      </c>
      <c r="K218" s="5" t="str">
        <f>"张文燕"</f>
        <v>张文燕</v>
      </c>
    </row>
    <row r="219" ht="132" spans="1:11">
      <c r="A219" s="6">
        <v>217</v>
      </c>
      <c r="B219" s="5" t="str">
        <f>"1220202Z1008"</f>
        <v>1220202Z1008</v>
      </c>
      <c r="C219" s="5" t="str">
        <f>"王丽媛"</f>
        <v>王丽媛</v>
      </c>
      <c r="D219" s="5" t="str">
        <f>"女"</f>
        <v>女</v>
      </c>
      <c r="E219" s="5" t="str">
        <f>"数理金融学"</f>
        <v>数理金融学</v>
      </c>
      <c r="F219" s="5" t="str">
        <f>"2022"</f>
        <v>2022</v>
      </c>
      <c r="G219" s="5" t="str">
        <f>"数学分析Ⅰ（理科）"</f>
        <v>数学分析Ⅰ（理科）</v>
      </c>
      <c r="H219" s="5" t="str">
        <f>"通识基础课"</f>
        <v>通识基础课</v>
      </c>
      <c r="I219" s="5" t="str">
        <f>"周一第5，6节{第1-17周}，周一第7节{第1-17周}，周四第10，11，12节{第1-17周}"</f>
        <v>周一第5，6节{第1-17周}，周一第7节{第1-17周}，周四第10，11，12节{第1-17周}</v>
      </c>
      <c r="J219" s="5" t="str">
        <f>"数学学院"</f>
        <v>数学学院</v>
      </c>
      <c r="K219" s="5" t="str">
        <f>"方敏"</f>
        <v>方敏</v>
      </c>
    </row>
    <row r="220" ht="120" spans="1:11">
      <c r="A220" s="6">
        <v>218</v>
      </c>
      <c r="B220" s="5" t="str">
        <f>"223070100004"</f>
        <v>223070100004</v>
      </c>
      <c r="C220" s="5" t="str">
        <f>"赵晋杰"</f>
        <v>赵晋杰</v>
      </c>
      <c r="D220" s="5" t="str">
        <f>"女"</f>
        <v>女</v>
      </c>
      <c r="E220" s="5" t="str">
        <f>"数学"</f>
        <v>数学</v>
      </c>
      <c r="F220" s="5" t="str">
        <f>"2023"</f>
        <v>2023</v>
      </c>
      <c r="G220" s="5" t="str">
        <f>"高等数学Ⅰ"</f>
        <v>高等数学Ⅰ</v>
      </c>
      <c r="H220" s="5" t="str">
        <f>"通识基础课"</f>
        <v>通识基础课</v>
      </c>
      <c r="I220" s="5" t="str">
        <f>"周二第1，2节{第1-17周}，周四第1，2节{第1-17周}，周四第3节{第1-17周}"</f>
        <v>周二第1，2节{第1-17周}，周四第1，2节{第1-17周}，周四第3节{第1-17周}</v>
      </c>
      <c r="J220" s="5" t="str">
        <f>"数学学院"</f>
        <v>数学学院</v>
      </c>
      <c r="K220" s="5" t="str">
        <f>"刘彩平"</f>
        <v>刘彩平</v>
      </c>
    </row>
    <row r="221" ht="84" spans="1:11">
      <c r="A221" s="6">
        <v>219</v>
      </c>
      <c r="B221" s="5" t="str">
        <f>"223070100029"</f>
        <v>223070100029</v>
      </c>
      <c r="C221" s="5" t="str">
        <f>"赵若汐"</f>
        <v>赵若汐</v>
      </c>
      <c r="D221" s="5" t="str">
        <f>"女"</f>
        <v>女</v>
      </c>
      <c r="E221" s="5" t="str">
        <f>"数学"</f>
        <v>数学</v>
      </c>
      <c r="F221" s="5" t="str">
        <f>"2023"</f>
        <v>2023</v>
      </c>
      <c r="G221" s="5" t="str">
        <f>"高等代数Ⅰ（理科）"</f>
        <v>高等代数Ⅰ（理科）</v>
      </c>
      <c r="H221" s="5" t="str">
        <f>"通识基础课"</f>
        <v>通识基础课</v>
      </c>
      <c r="I221" s="5" t="str">
        <f>"周一第1，2节{第1-17周}，周三第3，4节{第1-17周}"</f>
        <v>周一第1，2节{第1-17周}，周三第3，4节{第1-17周}</v>
      </c>
      <c r="J221" s="5" t="str">
        <f>"数学学院"</f>
        <v>数学学院</v>
      </c>
      <c r="K221" s="5" t="str">
        <f>"赵建容"</f>
        <v>赵建容</v>
      </c>
    </row>
    <row r="222" ht="84" spans="1:11">
      <c r="A222" s="6">
        <v>220</v>
      </c>
      <c r="B222" s="5" t="str">
        <f>"2230202Z1009"</f>
        <v>2230202Z1009</v>
      </c>
      <c r="C222" s="5" t="str">
        <f>"梁子建"</f>
        <v>梁子建</v>
      </c>
      <c r="D222" s="5" t="str">
        <f>"男"</f>
        <v>男</v>
      </c>
      <c r="E222" s="5" t="str">
        <f>"数理金融学"</f>
        <v>数理金融学</v>
      </c>
      <c r="F222" s="5" t="str">
        <f>"2023"</f>
        <v>2023</v>
      </c>
      <c r="G222" s="5" t="str">
        <f>"泛函分析"</f>
        <v>泛函分析</v>
      </c>
      <c r="H222" s="5" t="str">
        <f>"大学科基础课"</f>
        <v>大学科基础课</v>
      </c>
      <c r="I222" s="5" t="str">
        <f>"周五第5，6节{第1-17周}，周五第7节{第1-17周}"</f>
        <v>周五第5，6节{第1-17周}，周五第7节{第1-17周}</v>
      </c>
      <c r="J222" s="5" t="str">
        <f>"数学学院"</f>
        <v>数学学院</v>
      </c>
      <c r="K222" s="5" t="str">
        <f>"邓洋"</f>
        <v>邓洋</v>
      </c>
    </row>
    <row r="223" ht="84" spans="1:11">
      <c r="A223" s="6">
        <v>221</v>
      </c>
      <c r="B223" s="5" t="str">
        <f>"1230202Z1002"</f>
        <v>1230202Z1002</v>
      </c>
      <c r="C223" s="5" t="str">
        <f>"侯丽"</f>
        <v>侯丽</v>
      </c>
      <c r="D223" s="5" t="str">
        <f>"女"</f>
        <v>女</v>
      </c>
      <c r="E223" s="5" t="str">
        <f>"数理金融学"</f>
        <v>数理金融学</v>
      </c>
      <c r="F223" s="5" t="str">
        <f>"2023"</f>
        <v>2023</v>
      </c>
      <c r="G223" s="5" t="str">
        <f>"高等代数Ⅰ"</f>
        <v>高等代数Ⅰ</v>
      </c>
      <c r="H223" s="5" t="str">
        <f>"通识基础课"</f>
        <v>通识基础课</v>
      </c>
      <c r="I223" s="5" t="str">
        <f>"周一第8，9节{第1-17周}，周四第8，9节{第1-17周}"</f>
        <v>周一第8，9节{第1-17周}，周四第8，9节{第1-17周}</v>
      </c>
      <c r="J223" s="5" t="str">
        <f>"数学学院"</f>
        <v>数学学院</v>
      </c>
      <c r="K223" s="5" t="str">
        <f>"杨文昇"</f>
        <v>杨文昇</v>
      </c>
    </row>
    <row r="224" ht="48" spans="1:11">
      <c r="A224" s="6">
        <v>222</v>
      </c>
      <c r="B224" s="5" t="str">
        <f>"2231203Z1002"</f>
        <v>2231203Z1002</v>
      </c>
      <c r="C224" s="5" t="str">
        <f>"夏雪"</f>
        <v>夏雪</v>
      </c>
      <c r="D224" s="5" t="str">
        <f>"女"</f>
        <v>女</v>
      </c>
      <c r="E224" s="5" t="str">
        <f>"乡村经济管理"</f>
        <v>乡村经济管理</v>
      </c>
      <c r="F224" s="5" t="str">
        <f>"2023"</f>
        <v>2023</v>
      </c>
      <c r="G224" s="5" t="str">
        <f>"数学分析Ⅱ（理科）"</f>
        <v>数学分析Ⅱ（理科）</v>
      </c>
      <c r="H224" s="5" t="str">
        <f>"通识基础课"</f>
        <v>通识基础课</v>
      </c>
      <c r="I224" s="5" t="str">
        <f>"周四第10，11，12节{第6-16周}"</f>
        <v>周四第10，11，12节{第6-16周}</v>
      </c>
      <c r="J224" s="5" t="str">
        <f>"数学学院"</f>
        <v>数学学院</v>
      </c>
      <c r="K224" s="5" t="str">
        <f>"邓洋"</f>
        <v>邓洋</v>
      </c>
    </row>
    <row r="225" ht="48" spans="1:11">
      <c r="A225" s="6">
        <v>223</v>
      </c>
      <c r="B225" s="5" t="str">
        <f>"123070100005"</f>
        <v>123070100005</v>
      </c>
      <c r="C225" s="5" t="str">
        <f>"徐敏"</f>
        <v>徐敏</v>
      </c>
      <c r="D225" s="5" t="str">
        <f>"女"</f>
        <v>女</v>
      </c>
      <c r="E225" s="5" t="str">
        <f>"数学"</f>
        <v>数学</v>
      </c>
      <c r="F225" s="5" t="str">
        <f>"2023"</f>
        <v>2023</v>
      </c>
      <c r="G225" s="5" t="str">
        <f>"金融随机分析"</f>
        <v>金融随机分析</v>
      </c>
      <c r="H225" s="5" t="str">
        <f>"专业必修课"</f>
        <v>专业必修课</v>
      </c>
      <c r="I225" s="5" t="str">
        <f>"周四第10，11，12节{第1-17周}"</f>
        <v>周四第10，11，12节{第1-17周}</v>
      </c>
      <c r="J225" s="5" t="str">
        <f>"数学学院"</f>
        <v>数学学院</v>
      </c>
      <c r="K225" s="5" t="str">
        <f>"梁浩"</f>
        <v>梁浩</v>
      </c>
    </row>
    <row r="226" ht="48" spans="1:11">
      <c r="A226" s="6">
        <v>224</v>
      </c>
      <c r="B226" s="5" t="str">
        <f>"1220202Z1002"</f>
        <v>1220202Z1002</v>
      </c>
      <c r="C226" s="5" t="str">
        <f>"李耀"</f>
        <v>李耀</v>
      </c>
      <c r="D226" s="5" t="str">
        <f>"男"</f>
        <v>男</v>
      </c>
      <c r="E226" s="5" t="str">
        <f>"数理金融学"</f>
        <v>数理金融学</v>
      </c>
      <c r="F226" s="5" t="str">
        <f>"2022"</f>
        <v>2022</v>
      </c>
      <c r="G226" s="5" t="str">
        <f>"数值分析"</f>
        <v>数值分析</v>
      </c>
      <c r="H226" s="5" t="str">
        <f>"专业必修课"</f>
        <v>专业必修课</v>
      </c>
      <c r="I226" s="5" t="str">
        <f>"周二第10，11，12节{第1-17周}"</f>
        <v>周二第10，11，12节{第1-17周}</v>
      </c>
      <c r="J226" s="5" t="str">
        <f>"数学学院"</f>
        <v>数学学院</v>
      </c>
      <c r="K226" s="5" t="str">
        <f>"林一丁"</f>
        <v>林一丁</v>
      </c>
    </row>
    <row r="227" ht="120" spans="1:11">
      <c r="A227" s="6">
        <v>225</v>
      </c>
      <c r="B227" s="5" t="str">
        <f>"121071400002"</f>
        <v>121071400002</v>
      </c>
      <c r="C227" s="5" t="str">
        <f>"程文锐"</f>
        <v>程文锐</v>
      </c>
      <c r="D227" s="5" t="str">
        <f>"女"</f>
        <v>女</v>
      </c>
      <c r="E227" s="5" t="str">
        <f>"统计学"</f>
        <v>统计学</v>
      </c>
      <c r="F227" s="5" t="str">
        <f>"2021"</f>
        <v>2021</v>
      </c>
      <c r="G227" s="5" t="str">
        <f>"高等数学Ⅰ"</f>
        <v>高等数学Ⅰ</v>
      </c>
      <c r="H227" s="5" t="str">
        <f>"通识基础课"</f>
        <v>通识基础课</v>
      </c>
      <c r="I227" s="5" t="str">
        <f>"周二第3，4节{第1-17周}，周四第5，6节{第1-17周}，周四第7节{第1-17周}"</f>
        <v>周二第3，4节{第1-17周}，周四第5，6节{第1-17周}，周四第7节{第1-17周}</v>
      </c>
      <c r="J227" s="5" t="str">
        <f>"数学学院"</f>
        <v>数学学院</v>
      </c>
      <c r="K227" s="5" t="str">
        <f>"戴岱"</f>
        <v>戴岱</v>
      </c>
    </row>
    <row r="228" ht="120" spans="1:11">
      <c r="A228" s="6">
        <v>226</v>
      </c>
      <c r="B228" s="5" t="str">
        <f>"222071400014"</f>
        <v>222071400014</v>
      </c>
      <c r="C228" s="5" t="str">
        <f>"梁俊康"</f>
        <v>梁俊康</v>
      </c>
      <c r="D228" s="5" t="str">
        <f>"男"</f>
        <v>男</v>
      </c>
      <c r="E228" s="5" t="str">
        <f>"统计学"</f>
        <v>统计学</v>
      </c>
      <c r="F228" s="5" t="str">
        <f>"2022"</f>
        <v>2022</v>
      </c>
      <c r="G228" s="5" t="str">
        <f>"高等数学Ⅰ"</f>
        <v>高等数学Ⅰ</v>
      </c>
      <c r="H228" s="5" t="str">
        <f>"通识基础课"</f>
        <v>通识基础课</v>
      </c>
      <c r="I228" s="5" t="str">
        <f>"周二第1，2节{第1-17周}，周四第1，2节{第1-17周}，周四第3节{第1-17周}"</f>
        <v>周二第1，2节{第1-17周}，周四第1，2节{第1-17周}，周四第3节{第1-17周}</v>
      </c>
      <c r="J228" s="5" t="str">
        <f>"数学学院"</f>
        <v>数学学院</v>
      </c>
      <c r="K228" s="5" t="str">
        <f>"戴岱"</f>
        <v>戴岱</v>
      </c>
    </row>
    <row r="229" ht="120" spans="1:11">
      <c r="A229" s="6">
        <v>227</v>
      </c>
      <c r="B229" s="5" t="str">
        <f>"222020201006"</f>
        <v>222020201006</v>
      </c>
      <c r="C229" s="5" t="str">
        <f>"李凌云"</f>
        <v>李凌云</v>
      </c>
      <c r="D229" s="5" t="str">
        <f>"女"</f>
        <v>女</v>
      </c>
      <c r="E229" s="5" t="str">
        <f>"国民经济学"</f>
        <v>国民经济学</v>
      </c>
      <c r="F229" s="5" t="str">
        <f>"2022"</f>
        <v>2022</v>
      </c>
      <c r="G229" s="5" t="str">
        <f>"高等数学Ⅰ"</f>
        <v>高等数学Ⅰ</v>
      </c>
      <c r="H229" s="5" t="str">
        <f>"通识基础课"</f>
        <v>通识基础课</v>
      </c>
      <c r="I229" s="5" t="str">
        <f>"周一第8，9节{第1-17周}，周三第5，6节{第1-17周}，周三第7节{第1-17周}"</f>
        <v>周一第8，9节{第1-17周}，周三第5，6节{第1-17周}，周三第7节{第1-17周}</v>
      </c>
      <c r="J229" s="5" t="str">
        <f>"数学学院"</f>
        <v>数学学院</v>
      </c>
      <c r="K229" s="5" t="str">
        <f>"代宏霞"</f>
        <v>代宏霞</v>
      </c>
    </row>
    <row r="230" ht="120" spans="1:11">
      <c r="A230" s="6">
        <v>228</v>
      </c>
      <c r="B230" s="5" t="str">
        <f>"2230202J5001"</f>
        <v>2230202J5001</v>
      </c>
      <c r="C230" s="5" t="str">
        <f>"蔡杰"</f>
        <v>蔡杰</v>
      </c>
      <c r="D230" s="5" t="str">
        <f>"男"</f>
        <v>男</v>
      </c>
      <c r="E230" s="5" t="str">
        <f>"农业经济学"</f>
        <v>农业经济学</v>
      </c>
      <c r="F230" s="5" t="str">
        <f>"2023"</f>
        <v>2023</v>
      </c>
      <c r="G230" s="5" t="str">
        <f>"高等数学Ⅰ"</f>
        <v>高等数学Ⅰ</v>
      </c>
      <c r="H230" s="5" t="str">
        <f>"通识基础课"</f>
        <v>通识基础课</v>
      </c>
      <c r="I230" s="5" t="str">
        <f>"周二第3，4节{第1-17周}，周四第5，6节{第1-17周}，周四第7节{第1-17周}"</f>
        <v>周二第3，4节{第1-17周}，周四第5，6节{第1-17周}，周四第7节{第1-17周}</v>
      </c>
      <c r="J230" s="5" t="str">
        <f>"数学学院"</f>
        <v>数学学院</v>
      </c>
      <c r="K230" s="5" t="str">
        <f>"代宏霞"</f>
        <v>代宏霞</v>
      </c>
    </row>
    <row r="231" ht="120" spans="1:11">
      <c r="A231" s="6">
        <v>229</v>
      </c>
      <c r="B231" s="5" t="str">
        <f>"1210202Z1007"</f>
        <v>1210202Z1007</v>
      </c>
      <c r="C231" s="5" t="str">
        <f>"王子悦"</f>
        <v>王子悦</v>
      </c>
      <c r="D231" s="5" t="str">
        <f>"女"</f>
        <v>女</v>
      </c>
      <c r="E231" s="5" t="str">
        <f>"数理金融学"</f>
        <v>数理金融学</v>
      </c>
      <c r="F231" s="5" t="str">
        <f>"2021"</f>
        <v>2021</v>
      </c>
      <c r="G231" s="5" t="str">
        <f>"高等数学Ⅰ"</f>
        <v>高等数学Ⅰ</v>
      </c>
      <c r="H231" s="5" t="str">
        <f>"通识基础课"</f>
        <v>通识基础课</v>
      </c>
      <c r="I231" s="5" t="str">
        <f>"周二第3，4节{第1-17周}，周四第5，6节{第1-17周}，周四第7节{第1-17周}"</f>
        <v>周二第3，4节{第1-17周}，周四第5，6节{第1-17周}，周四第7节{第1-17周}</v>
      </c>
      <c r="J231" s="5" t="str">
        <f>"数学学院"</f>
        <v>数学学院</v>
      </c>
      <c r="K231" s="5" t="str">
        <f>"王开弘"</f>
        <v>王开弘</v>
      </c>
    </row>
    <row r="232" ht="120" spans="1:11">
      <c r="A232" s="6">
        <v>230</v>
      </c>
      <c r="B232" s="5" t="str">
        <f>"121020204002"</f>
        <v>121020204002</v>
      </c>
      <c r="C232" s="5" t="str">
        <f>"杨青青"</f>
        <v>杨青青</v>
      </c>
      <c r="D232" s="5" t="str">
        <f>"女"</f>
        <v>女</v>
      </c>
      <c r="E232" s="5" t="str">
        <f>"金融学"</f>
        <v>金融学</v>
      </c>
      <c r="F232" s="5" t="str">
        <f>"2021"</f>
        <v>2021</v>
      </c>
      <c r="G232" s="5" t="str">
        <f>"高等数学Ⅰ"</f>
        <v>高等数学Ⅰ</v>
      </c>
      <c r="H232" s="5" t="str">
        <f>"通识基础课"</f>
        <v>通识基础课</v>
      </c>
      <c r="I232" s="5" t="str">
        <f>"周二第1，2节{第1-17周}，周四第1，2节{第1-17周}，周四第3节{第1-17周}"</f>
        <v>周二第1，2节{第1-17周}，周四第1，2节{第1-17周}，周四第3节{第1-17周}</v>
      </c>
      <c r="J232" s="5" t="str">
        <f>"数学学院"</f>
        <v>数学学院</v>
      </c>
      <c r="K232" s="5" t="str">
        <f>"王开弘"</f>
        <v>王开弘</v>
      </c>
    </row>
    <row r="233" ht="156" spans="1:11">
      <c r="A233" s="6">
        <v>231</v>
      </c>
      <c r="B233" s="5" t="str">
        <f>"1210202Z1013"</f>
        <v>1210202Z1013</v>
      </c>
      <c r="C233" s="5" t="str">
        <f>"王阳洋"</f>
        <v>王阳洋</v>
      </c>
      <c r="D233" s="5" t="str">
        <f>"男"</f>
        <v>男</v>
      </c>
      <c r="E233" s="5" t="str">
        <f>"数理金融学"</f>
        <v>数理金融学</v>
      </c>
      <c r="F233" s="5" t="str">
        <f>"2021"</f>
        <v>2021</v>
      </c>
      <c r="G233" s="5" t="str">
        <f>"数学分析I（英文）"</f>
        <v>数学分析I（英文）</v>
      </c>
      <c r="H233" s="5" t="str">
        <f>"通识基础课"</f>
        <v>通识基础课</v>
      </c>
      <c r="I233" s="5" t="str">
        <f>"周一第1，2节{第1-17周}，周一第3节{第1-17周}，周三第1，2节{第1-17周}，周三第3节{第1-17周}"</f>
        <v>周一第1，2节{第1-17周}，周一第3节{第1-17周}，周三第1，2节{第1-17周}，周三第3节{第1-17周}</v>
      </c>
      <c r="J233" s="5" t="str">
        <f>"数学学院"</f>
        <v>数学学院</v>
      </c>
      <c r="K233" s="5" t="str">
        <f>"郭训香"</f>
        <v>郭训香</v>
      </c>
    </row>
    <row r="234" ht="84" spans="1:11">
      <c r="A234" s="6">
        <v>232</v>
      </c>
      <c r="B234" s="5" t="str">
        <f>"2230202Z1001"</f>
        <v>2230202Z1001</v>
      </c>
      <c r="C234" s="5" t="str">
        <f>"孔祥培"</f>
        <v>孔祥培</v>
      </c>
      <c r="D234" s="5" t="str">
        <f>"男"</f>
        <v>男</v>
      </c>
      <c r="E234" s="5" t="str">
        <f>"数理金融学"</f>
        <v>数理金融学</v>
      </c>
      <c r="F234" s="5" t="str">
        <f>"2023"</f>
        <v>2023</v>
      </c>
      <c r="G234" s="5" t="str">
        <f>"概率论（理科）"</f>
        <v>概率论（理科）</v>
      </c>
      <c r="H234" s="5" t="str">
        <f>"通识基础课"</f>
        <v>通识基础课</v>
      </c>
      <c r="I234" s="5" t="str">
        <f>"周三第3，4节{第1-17周}，周四第5，6节{第1-17周}"</f>
        <v>周三第3，4节{第1-17周}，周四第5，6节{第1-17周}</v>
      </c>
      <c r="J234" s="5" t="str">
        <f>"数学学院"</f>
        <v>数学学院</v>
      </c>
      <c r="K234" s="5" t="str">
        <f>"吴萌"</f>
        <v>吴萌</v>
      </c>
    </row>
    <row r="235" ht="48" spans="1:11">
      <c r="A235" s="6">
        <v>233</v>
      </c>
      <c r="B235" s="5" t="str">
        <f>"1211201Z5008"</f>
        <v>1211201Z5008</v>
      </c>
      <c r="C235" s="5" t="str">
        <f>"胡越"</f>
        <v>胡越</v>
      </c>
      <c r="D235" s="5" t="str">
        <f>"女"</f>
        <v>女</v>
      </c>
      <c r="E235" s="5" t="str">
        <f>"大数据管理"</f>
        <v>大数据管理</v>
      </c>
      <c r="F235" s="5" t="str">
        <f>"2021"</f>
        <v>2021</v>
      </c>
      <c r="G235" s="5" t="str">
        <f>"随机过程"</f>
        <v>随机过程</v>
      </c>
      <c r="H235" s="5" t="str">
        <f>"专业必修课"</f>
        <v>专业必修课</v>
      </c>
      <c r="I235" s="5" t="str">
        <f>"周四第10，11，12节{第1-17周}"</f>
        <v>周四第10，11，12节{第1-17周}</v>
      </c>
      <c r="J235" s="5" t="str">
        <f>"数学学院"</f>
        <v>数学学院</v>
      </c>
      <c r="K235" s="5" t="str">
        <f>"骆川义"</f>
        <v>骆川义</v>
      </c>
    </row>
    <row r="236" ht="84" spans="1:11">
      <c r="A236" s="6">
        <v>234</v>
      </c>
      <c r="B236" s="5" t="str">
        <f>"123070100003"</f>
        <v>123070100003</v>
      </c>
      <c r="C236" s="5" t="str">
        <f>"张薇"</f>
        <v>张薇</v>
      </c>
      <c r="D236" s="5" t="str">
        <f>"女"</f>
        <v>女</v>
      </c>
      <c r="E236" s="5" t="str">
        <f>"数学"</f>
        <v>数学</v>
      </c>
      <c r="F236" s="5" t="str">
        <f>"2023"</f>
        <v>2023</v>
      </c>
      <c r="G236" s="5" t="str">
        <f>"金融随机分析"</f>
        <v>金融随机分析</v>
      </c>
      <c r="H236" s="5" t="str">
        <f>"专业必修课"</f>
        <v>专业必修课</v>
      </c>
      <c r="I236" s="5" t="str">
        <f>"周四第5，6节{第1-17周}，周四第7节{第1-17周}"</f>
        <v>周四第5，6节{第1-17周}，周四第7节{第1-17周}</v>
      </c>
      <c r="J236" s="5" t="str">
        <f>"数学学院"</f>
        <v>数学学院</v>
      </c>
      <c r="K236" s="5" t="str">
        <f>"梁浩"</f>
        <v>梁浩</v>
      </c>
    </row>
    <row r="237" ht="84" spans="1:11">
      <c r="A237" s="6">
        <v>235</v>
      </c>
      <c r="B237" s="5" t="str">
        <f>"222070100009"</f>
        <v>222070100009</v>
      </c>
      <c r="C237" s="5" t="str">
        <f>"易理政"</f>
        <v>易理政</v>
      </c>
      <c r="D237" s="5" t="str">
        <f>"男"</f>
        <v>男</v>
      </c>
      <c r="E237" s="5" t="str">
        <f>"数学"</f>
        <v>数学</v>
      </c>
      <c r="F237" s="5" t="str">
        <f>"2022"</f>
        <v>2022</v>
      </c>
      <c r="G237" s="5" t="str">
        <f>"高等代数Ⅰ"</f>
        <v>高等代数Ⅰ</v>
      </c>
      <c r="H237" s="5" t="str">
        <f>"通识基础课"</f>
        <v>通识基础课</v>
      </c>
      <c r="I237" s="5" t="str">
        <f>"周三第10，11节{第1-17周}，周四第8，9节{第1-17周}"</f>
        <v>周三第10，11节{第1-17周}，周四第8，9节{第1-17周}</v>
      </c>
      <c r="J237" s="5" t="str">
        <f>"数学学院"</f>
        <v>数学学院</v>
      </c>
      <c r="K237" s="5" t="str">
        <f>"张炜"</f>
        <v>张炜</v>
      </c>
    </row>
    <row r="238" ht="120" spans="1:11">
      <c r="A238" s="6">
        <v>236</v>
      </c>
      <c r="B238" s="5" t="str">
        <f>"222070100011"</f>
        <v>222070100011</v>
      </c>
      <c r="C238" s="5" t="str">
        <f>"戴恒"</f>
        <v>戴恒</v>
      </c>
      <c r="D238" s="5" t="str">
        <f>"男"</f>
        <v>男</v>
      </c>
      <c r="E238" s="5" t="str">
        <f>"数学"</f>
        <v>数学</v>
      </c>
      <c r="F238" s="5" t="str">
        <f>"2022"</f>
        <v>2022</v>
      </c>
      <c r="G238" s="5" t="str">
        <f>"高等代数Ⅰ"</f>
        <v>高等代数Ⅰ</v>
      </c>
      <c r="H238" s="5" t="str">
        <f>"通识基础课"</f>
        <v>通识基础课</v>
      </c>
      <c r="I238" s="5" t="str">
        <f>"周三第8，9节{第1-17周}，周四第6节{第1-17周}，周四第7节{第1-17周}"</f>
        <v>周三第8，9节{第1-17周}，周四第6节{第1-17周}，周四第7节{第1-17周}</v>
      </c>
      <c r="J238" s="5" t="str">
        <f>"数学学院"</f>
        <v>数学学院</v>
      </c>
      <c r="K238" s="5" t="str">
        <f>"张炜"</f>
        <v>张炜</v>
      </c>
    </row>
    <row r="239" ht="108" spans="1:11">
      <c r="A239" s="6">
        <v>237</v>
      </c>
      <c r="B239" s="5" t="str">
        <f>"122071400001"</f>
        <v>122071400001</v>
      </c>
      <c r="C239" s="5" t="str">
        <f>"张冬雪"</f>
        <v>张冬雪</v>
      </c>
      <c r="D239" s="5" t="str">
        <f>"女"</f>
        <v>女</v>
      </c>
      <c r="E239" s="5" t="str">
        <f>"统计学"</f>
        <v>统计学</v>
      </c>
      <c r="F239" s="5" t="str">
        <f>"2022"</f>
        <v>2022</v>
      </c>
      <c r="G239" s="5" t="str">
        <f>"数学分析Ⅲ（理科）"</f>
        <v>数学分析Ⅲ（理科）</v>
      </c>
      <c r="H239" s="5" t="str">
        <f>"大学科基础课"</f>
        <v>大学科基础课</v>
      </c>
      <c r="I239" s="5" t="str">
        <f>"周二第10，11，12节{第1-17周}，周四第3，4节{第1-17周}"</f>
        <v>周二第10，11，12节{第1-17周}，周四第3，4节{第1-17周}</v>
      </c>
      <c r="J239" s="5" t="str">
        <f>"数学学院"</f>
        <v>数学学院</v>
      </c>
      <c r="K239" s="5" t="str">
        <f>"陈小平"</f>
        <v>陈小平</v>
      </c>
    </row>
    <row r="240" ht="120" spans="1:11">
      <c r="A240" s="6">
        <v>238</v>
      </c>
      <c r="B240" s="5" t="str">
        <f>"222020204136"</f>
        <v>222020204136</v>
      </c>
      <c r="C240" s="5" t="str">
        <f>"付子乾"</f>
        <v>付子乾</v>
      </c>
      <c r="D240" s="5" t="str">
        <f>"男"</f>
        <v>男</v>
      </c>
      <c r="E240" s="5" t="str">
        <f>"金融学"</f>
        <v>金融学</v>
      </c>
      <c r="F240" s="5" t="str">
        <f>"2022"</f>
        <v>2022</v>
      </c>
      <c r="G240" s="5" t="str">
        <f>"高等数学Ⅰ"</f>
        <v>高等数学Ⅰ</v>
      </c>
      <c r="H240" s="5" t="str">
        <f>"通识基础课"</f>
        <v>通识基础课</v>
      </c>
      <c r="I240" s="5" t="str">
        <f>"周二第3，4节{第1-17周}，周四第5，6节{第1-17周}，周四第7节{第1-17周}"</f>
        <v>周二第3，4节{第1-17周}，周四第5，6节{第1-17周}，周四第7节{第1-17周}</v>
      </c>
      <c r="J240" s="5" t="str">
        <f>"数学学院"</f>
        <v>数学学院</v>
      </c>
      <c r="K240" s="5" t="str">
        <f>"吴静"</f>
        <v>吴静</v>
      </c>
    </row>
    <row r="241" ht="84" spans="1:11">
      <c r="A241" s="6">
        <v>239</v>
      </c>
      <c r="B241" s="5" t="str">
        <f>"1210202Z1006"</f>
        <v>1210202Z1006</v>
      </c>
      <c r="C241" s="5" t="str">
        <f>"林珍梅"</f>
        <v>林珍梅</v>
      </c>
      <c r="D241" s="5" t="str">
        <f>"女"</f>
        <v>女</v>
      </c>
      <c r="E241" s="5" t="str">
        <f>"数理金融学"</f>
        <v>数理金融学</v>
      </c>
      <c r="F241" s="5" t="str">
        <f>"2021"</f>
        <v>2021</v>
      </c>
      <c r="G241" s="5" t="str">
        <f>"概率论（理科）"</f>
        <v>概率论（理科）</v>
      </c>
      <c r="H241" s="5" t="str">
        <f>"通识基础课"</f>
        <v>通识基础课</v>
      </c>
      <c r="I241" s="5" t="str">
        <f>"周一第1，2节{第1-17周}，周四第1，2节{第1-17周}"</f>
        <v>周一第1，2节{第1-17周}，周四第1，2节{第1-17周}</v>
      </c>
      <c r="J241" s="5" t="str">
        <f>"数学学院"</f>
        <v>数学学院</v>
      </c>
      <c r="K241" s="5" t="str">
        <f>"岳佳"</f>
        <v>岳佳</v>
      </c>
    </row>
    <row r="242" ht="144" spans="1:11">
      <c r="A242" s="6">
        <v>240</v>
      </c>
      <c r="B242" s="5" t="str">
        <f>"222070100015"</f>
        <v>222070100015</v>
      </c>
      <c r="C242" s="5" t="str">
        <f>"李文新"</f>
        <v>李文新</v>
      </c>
      <c r="D242" s="5" t="str">
        <f>"男"</f>
        <v>男</v>
      </c>
      <c r="E242" s="5" t="str">
        <f>"数学"</f>
        <v>数学</v>
      </c>
      <c r="F242" s="5" t="str">
        <f>"2022"</f>
        <v>2022</v>
      </c>
      <c r="G242" s="5" t="str">
        <f>"概率论（理科）"</f>
        <v>概率论（理科）</v>
      </c>
      <c r="H242" s="5" t="str">
        <f>"通识基础课"</f>
        <v>通识基础课</v>
      </c>
      <c r="I242" s="5" t="str">
        <f>"周一第6节{第1-17周}，周一第7节{第1-17周}，周四第6节{第1-17周}，周四第7节{第1-17周}"</f>
        <v>周一第6节{第1-17周}，周一第7节{第1-17周}，周四第6节{第1-17周}，周四第7节{第1-17周}</v>
      </c>
      <c r="J242" s="5" t="str">
        <f>"数学学院"</f>
        <v>数学学院</v>
      </c>
      <c r="K242" s="5" t="str">
        <f>"岳佳"</f>
        <v>岳佳</v>
      </c>
    </row>
    <row r="243" ht="84" spans="1:11">
      <c r="A243" s="6">
        <v>241</v>
      </c>
      <c r="B243" s="5" t="str">
        <f>"222120100019"</f>
        <v>222120100019</v>
      </c>
      <c r="C243" s="5" t="str">
        <f>"张涛"</f>
        <v>张涛</v>
      </c>
      <c r="D243" s="5" t="str">
        <f>"男"</f>
        <v>男</v>
      </c>
      <c r="E243" s="5" t="str">
        <f>"管理科学与工程"</f>
        <v>管理科学与工程</v>
      </c>
      <c r="F243" s="5" t="str">
        <f>"2022"</f>
        <v>2022</v>
      </c>
      <c r="G243" s="5" t="str">
        <f>"概率论（理科）"</f>
        <v>概率论（理科）</v>
      </c>
      <c r="H243" s="5" t="str">
        <f>"通识基础课"</f>
        <v>通识基础课</v>
      </c>
      <c r="I243" s="5" t="str">
        <f>"周一第1，2节{第1-17周}，周二第1，2节{第1-17周}"</f>
        <v>周一第1，2节{第1-17周}，周二第1，2节{第1-17周}</v>
      </c>
      <c r="J243" s="5" t="str">
        <f>"数学学院"</f>
        <v>数学学院</v>
      </c>
      <c r="K243" s="5" t="str">
        <f>"杨扬"</f>
        <v>杨扬</v>
      </c>
    </row>
    <row r="244" ht="120" spans="1:11">
      <c r="A244" s="6">
        <v>242</v>
      </c>
      <c r="B244" s="5" t="str">
        <f>"2230202Z1013"</f>
        <v>2230202Z1013</v>
      </c>
      <c r="C244" s="5" t="str">
        <f>"董子溢"</f>
        <v>董子溢</v>
      </c>
      <c r="D244" s="5" t="str">
        <f>"女"</f>
        <v>女</v>
      </c>
      <c r="E244" s="5" t="str">
        <f>"数理金融学"</f>
        <v>数理金融学</v>
      </c>
      <c r="F244" s="5" t="str">
        <f>"2023"</f>
        <v>2023</v>
      </c>
      <c r="G244" s="5" t="str">
        <f>"高等数学Ⅰ"</f>
        <v>高等数学Ⅰ</v>
      </c>
      <c r="H244" s="5" t="str">
        <f>"通识基础课"</f>
        <v>通识基础课</v>
      </c>
      <c r="I244" s="5" t="str">
        <f>"周二第3，4节{第1-17周}，周四第5，6节{第1-17周}，周四第7节{第1-17周}"</f>
        <v>周二第3，4节{第1-17周}，周四第5，6节{第1-17周}，周四第7节{第1-17周}</v>
      </c>
      <c r="J244" s="5" t="str">
        <f>"数学学院"</f>
        <v>数学学院</v>
      </c>
      <c r="K244" s="5" t="str">
        <f>"张清邦"</f>
        <v>张清邦</v>
      </c>
    </row>
    <row r="245" ht="144" spans="1:11">
      <c r="A245" s="6">
        <v>243</v>
      </c>
      <c r="B245" s="5" t="str">
        <f>"223070100024"</f>
        <v>223070100024</v>
      </c>
      <c r="C245" s="5" t="str">
        <f>"范霄"</f>
        <v>范霄</v>
      </c>
      <c r="D245" s="5" t="str">
        <f>"女"</f>
        <v>女</v>
      </c>
      <c r="E245" s="5" t="str">
        <f>"数学"</f>
        <v>数学</v>
      </c>
      <c r="F245" s="5" t="str">
        <f>"2023"</f>
        <v>2023</v>
      </c>
      <c r="G245" s="5" t="str">
        <f>"数学分析Ⅰ（理科）"</f>
        <v>数学分析Ⅰ（理科）</v>
      </c>
      <c r="H245" s="5" t="str">
        <f>"通识基础课"</f>
        <v>通识基础课</v>
      </c>
      <c r="I245" s="5" t="str">
        <f>"周二第10，11，12节{第1-17周}，周五第1，2节{第1-17周}，周五第3节{第1-17周}"</f>
        <v>周二第10，11，12节{第1-17周}，周五第1，2节{第1-17周}，周五第3节{第1-17周}</v>
      </c>
      <c r="J245" s="5" t="str">
        <f>"数学学院"</f>
        <v>数学学院</v>
      </c>
      <c r="K245" s="5" t="str">
        <f>"梁之磊"</f>
        <v>梁之磊</v>
      </c>
    </row>
    <row r="246" ht="84" spans="1:11">
      <c r="A246" s="6">
        <v>244</v>
      </c>
      <c r="B246" s="5" t="str">
        <f>"223070100022"</f>
        <v>223070100022</v>
      </c>
      <c r="C246" s="5" t="str">
        <f>"邓桐"</f>
        <v>邓桐</v>
      </c>
      <c r="D246" s="5" t="str">
        <f>"女"</f>
        <v>女</v>
      </c>
      <c r="E246" s="5" t="str">
        <f>"数学"</f>
        <v>数学</v>
      </c>
      <c r="F246" s="5" t="str">
        <f>"2023"</f>
        <v>2023</v>
      </c>
      <c r="G246" s="5" t="str">
        <f>"机器学习与数据挖掘"</f>
        <v>机器学习与数据挖掘</v>
      </c>
      <c r="H246" s="5" t="str">
        <f>"专业必修课"</f>
        <v>专业必修课</v>
      </c>
      <c r="I246" s="5" t="str">
        <f>"周三第5，6节{第1-17周}，周三第7节{第1-17周}"</f>
        <v>周三第5，6节{第1-17周}，周三第7节{第1-17周}</v>
      </c>
      <c r="J246" s="5" t="str">
        <f>"数学学院"</f>
        <v>数学学院</v>
      </c>
      <c r="K246" s="5" t="str">
        <f>"王天明"</f>
        <v>王天明</v>
      </c>
    </row>
    <row r="247" ht="156" spans="1:11">
      <c r="A247" s="6">
        <v>245</v>
      </c>
      <c r="B247" s="5" t="str">
        <f>"123070100008"</f>
        <v>123070100008</v>
      </c>
      <c r="C247" s="5" t="str">
        <f>"张鸿宇"</f>
        <v>张鸿宇</v>
      </c>
      <c r="D247" s="5" t="str">
        <f>"男"</f>
        <v>男</v>
      </c>
      <c r="E247" s="5" t="str">
        <f>"数学"</f>
        <v>数学</v>
      </c>
      <c r="F247" s="5" t="str">
        <f>"2023"</f>
        <v>2023</v>
      </c>
      <c r="G247" s="5" t="str">
        <f>"数学分析I（英文）"</f>
        <v>数学分析I（英文）</v>
      </c>
      <c r="H247" s="5" t="str">
        <f>"通识基础课"</f>
        <v>通识基础课</v>
      </c>
      <c r="I247" s="5" t="str">
        <f>"周一第5，6节{第1-17周}，周一第7节{第1-17周}，周四第5，6节{第1-17周}，周四第7节{第1-17周}"</f>
        <v>周一第5，6节{第1-17周}，周一第7节{第1-17周}，周四第5，6节{第1-17周}，周四第7节{第1-17周}</v>
      </c>
      <c r="J247" s="5" t="str">
        <f>"数学学院"</f>
        <v>数学学院</v>
      </c>
      <c r="K247" s="5" t="str">
        <f>"郭训香"</f>
        <v>郭训香</v>
      </c>
    </row>
    <row r="248" ht="84" spans="1:11">
      <c r="A248" s="6">
        <v>246</v>
      </c>
      <c r="B248" s="5" t="str">
        <f>"223020206015"</f>
        <v>223020206015</v>
      </c>
      <c r="C248" s="5" t="str">
        <f>"吴轲"</f>
        <v>吴轲</v>
      </c>
      <c r="D248" s="5" t="str">
        <f>"女"</f>
        <v>女</v>
      </c>
      <c r="E248" s="5" t="str">
        <f>"国际贸易学"</f>
        <v>国际贸易学</v>
      </c>
      <c r="F248" s="5" t="str">
        <f>"2023"</f>
        <v>2023</v>
      </c>
      <c r="G248" s="5" t="str">
        <f>"概率论（理科）"</f>
        <v>概率论（理科）</v>
      </c>
      <c r="H248" s="5" t="str">
        <f>"通识基础课"</f>
        <v>通识基础课</v>
      </c>
      <c r="I248" s="5" t="str">
        <f>"周一第3，4节{第1-17周}，周二第10，11节{第1-17周}"</f>
        <v>周一第3，4节{第1-17周}，周二第10，11节{第1-17周}</v>
      </c>
      <c r="J248" s="5" t="str">
        <f>"数学学院"</f>
        <v>数学学院</v>
      </c>
      <c r="K248" s="5" t="str">
        <f>"杨扬"</f>
        <v>杨扬</v>
      </c>
    </row>
    <row r="249" ht="120" spans="1:11">
      <c r="A249" s="6">
        <v>247</v>
      </c>
      <c r="B249" s="5" t="str">
        <f>"2230202Z1007"</f>
        <v>2230202Z1007</v>
      </c>
      <c r="C249" s="5" t="str">
        <f>"宋卓阳"</f>
        <v>宋卓阳</v>
      </c>
      <c r="D249" s="5" t="str">
        <f>"男"</f>
        <v>男</v>
      </c>
      <c r="E249" s="5" t="str">
        <f>"数理金融学"</f>
        <v>数理金融学</v>
      </c>
      <c r="F249" s="5" t="str">
        <f>"2023"</f>
        <v>2023</v>
      </c>
      <c r="G249" s="5" t="str">
        <f>"高等数学Ⅰ"</f>
        <v>高等数学Ⅰ</v>
      </c>
      <c r="H249" s="5" t="str">
        <f>"通识基础课"</f>
        <v>通识基础课</v>
      </c>
      <c r="I249" s="5" t="str">
        <f>"周二第1，2节{第1-17周}，周四第1，2节{第1-17周}，周四第3节{第1-17周}"</f>
        <v>周二第1，2节{第1-17周}，周四第1，2节{第1-17周}，周四第3节{第1-17周}</v>
      </c>
      <c r="J249" s="5" t="str">
        <f>"数学学院"</f>
        <v>数学学院</v>
      </c>
      <c r="K249" s="5" t="str">
        <f>"张清邦"</f>
        <v>张清邦</v>
      </c>
    </row>
    <row r="250" ht="84" spans="1:11">
      <c r="A250" s="6">
        <v>248</v>
      </c>
      <c r="B250" s="5" t="str">
        <f>"1230202J1002"</f>
        <v>1230202J1002</v>
      </c>
      <c r="C250" s="5" t="str">
        <f>"何雨盈"</f>
        <v>何雨盈</v>
      </c>
      <c r="D250" s="5" t="str">
        <f>"女"</f>
        <v>女</v>
      </c>
      <c r="E250" s="5" t="str">
        <f>"金融科技"</f>
        <v>金融科技</v>
      </c>
      <c r="F250" s="5" t="str">
        <f>"2023"</f>
        <v>2023</v>
      </c>
      <c r="G250" s="5" t="str">
        <f>"概率论（理科）"</f>
        <v>概率论（理科）</v>
      </c>
      <c r="H250" s="5" t="str">
        <f>"通识基础课"</f>
        <v>通识基础课</v>
      </c>
      <c r="I250" s="5" t="str">
        <f>"周一第1，2节{第1-17周}，周四第1，2节{第1-17周}"</f>
        <v>周一第1，2节{第1-17周}，周四第1，2节{第1-17周}</v>
      </c>
      <c r="J250" s="5" t="str">
        <f>"数学学院"</f>
        <v>数学学院</v>
      </c>
      <c r="K250" s="5" t="str">
        <f>"黄文毅"</f>
        <v>黄文毅</v>
      </c>
    </row>
    <row r="251" ht="84" spans="1:11">
      <c r="A251" s="6">
        <v>249</v>
      </c>
      <c r="B251" s="5" t="str">
        <f>"223070100013"</f>
        <v>223070100013</v>
      </c>
      <c r="C251" s="5" t="str">
        <f>"王率澎"</f>
        <v>王率澎</v>
      </c>
      <c r="D251" s="5" t="str">
        <f>"男"</f>
        <v>男</v>
      </c>
      <c r="E251" s="5" t="str">
        <f>"数学"</f>
        <v>数学</v>
      </c>
      <c r="F251" s="5" t="str">
        <f>"2023"</f>
        <v>2023</v>
      </c>
      <c r="G251" s="5" t="str">
        <f>"概率论（理科）"</f>
        <v>概率论（理科）</v>
      </c>
      <c r="H251" s="5" t="str">
        <f>"通识基础课"</f>
        <v>通识基础课</v>
      </c>
      <c r="I251" s="5" t="str">
        <f>"周三第1，2节{第1-17周}，周五第1，2节{第1-17周}"</f>
        <v>周三第1，2节{第1-17周}，周五第1，2节{第1-17周}</v>
      </c>
      <c r="J251" s="5" t="str">
        <f>"数学学院"</f>
        <v>数学学院</v>
      </c>
      <c r="K251" s="5" t="str">
        <f>"陈善镇"</f>
        <v>陈善镇</v>
      </c>
    </row>
    <row r="252" ht="156" spans="1:11">
      <c r="A252" s="6">
        <v>250</v>
      </c>
      <c r="B252" s="5" t="str">
        <f>"123070100006"</f>
        <v>123070100006</v>
      </c>
      <c r="C252" s="5" t="str">
        <f>"吴健"</f>
        <v>吴健</v>
      </c>
      <c r="D252" s="5" t="str">
        <f>"男"</f>
        <v>男</v>
      </c>
      <c r="E252" s="5" t="str">
        <f>"数学"</f>
        <v>数学</v>
      </c>
      <c r="F252" s="5" t="str">
        <f>"2023"</f>
        <v>2023</v>
      </c>
      <c r="G252" s="5" t="str">
        <f>"数学分析I（英文）"</f>
        <v>数学分析I（英文）</v>
      </c>
      <c r="H252" s="5" t="str">
        <f>"通识基础课"</f>
        <v>通识基础课</v>
      </c>
      <c r="I252" s="5" t="str">
        <f>"周三第5，6节{第1-17周}，周三第7节{第1-17周}，周四第1，2节{第1-17周}，周四第3节{第1-17周}"</f>
        <v>周三第5，6节{第1-17周}，周三第7节{第1-17周}，周四第1，2节{第1-17周}，周四第3节{第1-17周}</v>
      </c>
      <c r="J252" s="5" t="str">
        <f>"数学学院"</f>
        <v>数学学院</v>
      </c>
      <c r="K252" s="5" t="str">
        <f>"郭训香"</f>
        <v>郭训香</v>
      </c>
    </row>
    <row r="253" ht="156" spans="1:11">
      <c r="A253" s="6">
        <v>251</v>
      </c>
      <c r="B253" s="5" t="str">
        <f>"123070100002"</f>
        <v>123070100002</v>
      </c>
      <c r="C253" s="5" t="str">
        <f>"陈博"</f>
        <v>陈博</v>
      </c>
      <c r="D253" s="5" t="str">
        <f>"男"</f>
        <v>男</v>
      </c>
      <c r="E253" s="5" t="str">
        <f>"数学"</f>
        <v>数学</v>
      </c>
      <c r="F253" s="5" t="str">
        <f>"2023"</f>
        <v>2023</v>
      </c>
      <c r="G253" s="5" t="str">
        <f>"数学分析Ⅰ"</f>
        <v>数学分析Ⅰ</v>
      </c>
      <c r="H253" s="5" t="str">
        <f>"通识基础课"</f>
        <v>通识基础课</v>
      </c>
      <c r="I253" s="5" t="str">
        <f>"周二第1，2节{第1-17周}，周二第3节{第1-17周}，周四第7节{第1-17周}，周四第8，9节{第1-17周}"</f>
        <v>周二第1，2节{第1-17周}，周二第3节{第1-17周}，周四第7节{第1-17周}，周四第8，9节{第1-17周}</v>
      </c>
      <c r="J253" s="5" t="str">
        <f>"数学学院"</f>
        <v>数学学院</v>
      </c>
      <c r="K253" s="5" t="str">
        <f>"李涛"</f>
        <v>李涛</v>
      </c>
    </row>
    <row r="254" ht="84" spans="1:11">
      <c r="A254" s="6">
        <v>252</v>
      </c>
      <c r="B254" s="5" t="str">
        <f>"222070100016"</f>
        <v>222070100016</v>
      </c>
      <c r="C254" s="5" t="str">
        <f>"崔力元"</f>
        <v>崔力元</v>
      </c>
      <c r="D254" s="5" t="str">
        <f>"女"</f>
        <v>女</v>
      </c>
      <c r="E254" s="5" t="str">
        <f>"数学"</f>
        <v>数学</v>
      </c>
      <c r="F254" s="5" t="str">
        <f>"2022"</f>
        <v>2022</v>
      </c>
      <c r="G254" s="5" t="str">
        <f>"高等代数Ⅰ"</f>
        <v>高等代数Ⅰ</v>
      </c>
      <c r="H254" s="5" t="str">
        <f>"通识基础课"</f>
        <v>通识基础课</v>
      </c>
      <c r="I254" s="5" t="str">
        <f>"周一第3，4节{第1-17周}，周三第5，6节{第1-17周}"</f>
        <v>周一第3，4节{第1-17周}，周三第5，6节{第1-17周}</v>
      </c>
      <c r="J254" s="5" t="str">
        <f>"数学学院"</f>
        <v>数学学院</v>
      </c>
      <c r="K254" s="5" t="str">
        <f>"李静"</f>
        <v>李静</v>
      </c>
    </row>
    <row r="255" ht="48" spans="1:11">
      <c r="A255" s="6">
        <v>253</v>
      </c>
      <c r="B255" s="5" t="str">
        <f>"222070100012"</f>
        <v>222070100012</v>
      </c>
      <c r="C255" s="5" t="str">
        <f>"章晶艳"</f>
        <v>章晶艳</v>
      </c>
      <c r="D255" s="5" t="str">
        <f>"女"</f>
        <v>女</v>
      </c>
      <c r="E255" s="5" t="str">
        <f>"数学"</f>
        <v>数学</v>
      </c>
      <c r="F255" s="5" t="str">
        <f>"2022"</f>
        <v>2022</v>
      </c>
      <c r="G255" s="5" t="str">
        <f>"高等数学Ⅱ"</f>
        <v>高等数学Ⅱ</v>
      </c>
      <c r="H255" s="5" t="str">
        <f>"通识基础课"</f>
        <v>通识基础课</v>
      </c>
      <c r="I255" s="5" t="str">
        <f>"周一第10，11，12节{第6-16周}"</f>
        <v>周一第10，11，12节{第6-16周}</v>
      </c>
      <c r="J255" s="5" t="str">
        <f>"数学学院"</f>
        <v>数学学院</v>
      </c>
      <c r="K255" s="5" t="str">
        <f>"祝书强"</f>
        <v>祝书强</v>
      </c>
    </row>
    <row r="256" ht="48" spans="1:11">
      <c r="A256" s="6">
        <v>254</v>
      </c>
      <c r="B256" s="5" t="str">
        <f>"123070100001"</f>
        <v>123070100001</v>
      </c>
      <c r="C256" s="5" t="str">
        <f>"吴建强"</f>
        <v>吴建强</v>
      </c>
      <c r="D256" s="5" t="str">
        <f>"男"</f>
        <v>男</v>
      </c>
      <c r="E256" s="5" t="str">
        <f>"数学"</f>
        <v>数学</v>
      </c>
      <c r="F256" s="5" t="str">
        <f>"2023"</f>
        <v>2023</v>
      </c>
      <c r="G256" s="5" t="str">
        <f>"金融随机分析Ⅱ"</f>
        <v>金融随机分析Ⅱ</v>
      </c>
      <c r="H256" s="5" t="str">
        <f>"自由选修课"</f>
        <v>自由选修课</v>
      </c>
      <c r="I256" s="5" t="str">
        <f>"周二第10，11，12节{第1-17周}"</f>
        <v>周二第10，11，12节{第1-17周}</v>
      </c>
      <c r="J256" s="5" t="str">
        <f>"数学学院"</f>
        <v>数学学院</v>
      </c>
      <c r="K256" s="5" t="str">
        <f>"梁浩"</f>
        <v>梁浩</v>
      </c>
    </row>
    <row r="257" ht="156" spans="1:11">
      <c r="A257" s="6">
        <v>255</v>
      </c>
      <c r="B257" s="5" t="str">
        <f>"223070100019"</f>
        <v>223070100019</v>
      </c>
      <c r="C257" s="5" t="str">
        <f>"曹佳龙"</f>
        <v>曹佳龙</v>
      </c>
      <c r="D257" s="5" t="str">
        <f>"男"</f>
        <v>男</v>
      </c>
      <c r="E257" s="5" t="str">
        <f>"数学"</f>
        <v>数学</v>
      </c>
      <c r="F257" s="5" t="str">
        <f>"2023"</f>
        <v>2023</v>
      </c>
      <c r="G257" s="5" t="str">
        <f>"数学分析Ⅰ"</f>
        <v>数学分析Ⅰ</v>
      </c>
      <c r="H257" s="5" t="str">
        <f>"通识基础课"</f>
        <v>通识基础课</v>
      </c>
      <c r="I257" s="5" t="str">
        <f>"周二第1，2节{第1-17周}，周二第3节{第1-17周}，周四第7节{第1-17周}，周四第8，9节{第1-17周}"</f>
        <v>周二第1，2节{第1-17周}，周二第3节{第1-17周}，周四第7节{第1-17周}，周四第8，9节{第1-17周}</v>
      </c>
      <c r="J257" s="5" t="str">
        <f>"数学学院"</f>
        <v>数学学院</v>
      </c>
      <c r="K257" s="5" t="str">
        <f>"崔红卫"</f>
        <v>崔红卫</v>
      </c>
    </row>
    <row r="258" ht="144" spans="1:11">
      <c r="A258" s="6">
        <v>256</v>
      </c>
      <c r="B258" s="5" t="str">
        <f>"1230202Z2006"</f>
        <v>1230202Z2006</v>
      </c>
      <c r="C258" s="5" t="str">
        <f>"杨杰"</f>
        <v>杨杰</v>
      </c>
      <c r="D258" s="5" t="str">
        <f>"男"</f>
        <v>男</v>
      </c>
      <c r="E258" s="5" t="str">
        <f>"金融工程"</f>
        <v>金融工程</v>
      </c>
      <c r="F258" s="5" t="str">
        <f>"2023"</f>
        <v>2023</v>
      </c>
      <c r="G258" s="5" t="str">
        <f>"数学分析Ⅰ"</f>
        <v>数学分析Ⅰ</v>
      </c>
      <c r="H258" s="5" t="str">
        <f>"通识基础课"</f>
        <v>通识基础课</v>
      </c>
      <c r="I258" s="5" t="str">
        <f>"周二第10，11，12节{第1-17周}，周四第1，2节{第1-17周}，周四第3节{第1-17周}"</f>
        <v>周二第10，11，12节{第1-17周}，周四第1，2节{第1-17周}，周四第3节{第1-17周}</v>
      </c>
      <c r="J258" s="5" t="str">
        <f>"数学学院"</f>
        <v>数学学院</v>
      </c>
      <c r="K258" s="5" t="str">
        <f>"崔红卫"</f>
        <v>崔红卫</v>
      </c>
    </row>
    <row r="259" ht="84" spans="1:11">
      <c r="A259" s="6">
        <v>257</v>
      </c>
      <c r="B259" s="5" t="str">
        <f>"223070100014"</f>
        <v>223070100014</v>
      </c>
      <c r="C259" s="5" t="str">
        <f>"胡贤华"</f>
        <v>胡贤华</v>
      </c>
      <c r="D259" s="5" t="str">
        <f>"男"</f>
        <v>男</v>
      </c>
      <c r="E259" s="5" t="str">
        <f>"数学"</f>
        <v>数学</v>
      </c>
      <c r="F259" s="5" t="str">
        <f>"2023"</f>
        <v>2023</v>
      </c>
      <c r="G259" s="5" t="str">
        <f>"概率论（理科）"</f>
        <v>概率论（理科）</v>
      </c>
      <c r="H259" s="5" t="str">
        <f>"通识基础课"</f>
        <v>通识基础课</v>
      </c>
      <c r="I259" s="5" t="str">
        <f>"周三第3，4节{第1-17周}，周五第3，4节{第1-17周}"</f>
        <v>周三第3，4节{第1-17周}，周五第3，4节{第1-17周}</v>
      </c>
      <c r="J259" s="5" t="str">
        <f>"数学学院"</f>
        <v>数学学院</v>
      </c>
      <c r="K259" s="5" t="str">
        <f>"陈善镇"</f>
        <v>陈善镇</v>
      </c>
    </row>
    <row r="260" ht="84" spans="1:11">
      <c r="A260" s="6">
        <v>258</v>
      </c>
      <c r="B260" s="5" t="str">
        <f>"2230202Z1018"</f>
        <v>2230202Z1018</v>
      </c>
      <c r="C260" s="5" t="str">
        <f>"宋兰青"</f>
        <v>宋兰青</v>
      </c>
      <c r="D260" s="5" t="str">
        <f>"女"</f>
        <v>女</v>
      </c>
      <c r="E260" s="5" t="str">
        <f>"数理金融学"</f>
        <v>数理金融学</v>
      </c>
      <c r="F260" s="5" t="str">
        <f>"2023"</f>
        <v>2023</v>
      </c>
      <c r="G260" s="5" t="str">
        <f>"概率论（理科）"</f>
        <v>概率论（理科）</v>
      </c>
      <c r="H260" s="5" t="str">
        <f>"通识基础课"</f>
        <v>通识基础课</v>
      </c>
      <c r="I260" s="5" t="str">
        <f>"周一第3，4节{第1-17周}，周四第3，4节{第1-17周}"</f>
        <v>周一第3，4节{第1-17周}，周四第3，4节{第1-17周}</v>
      </c>
      <c r="J260" s="5" t="str">
        <f>"数学学院"</f>
        <v>数学学院</v>
      </c>
      <c r="K260" s="5" t="str">
        <f>"吴萌"</f>
        <v>吴萌</v>
      </c>
    </row>
    <row r="261" ht="156" spans="1:11">
      <c r="A261" s="6">
        <v>259</v>
      </c>
      <c r="B261" s="5" t="str">
        <f>"121020208004"</f>
        <v>121020208004</v>
      </c>
      <c r="C261" s="5" t="str">
        <f>"余澜"</f>
        <v>余澜</v>
      </c>
      <c r="D261" s="5" t="str">
        <f>"男"</f>
        <v>男</v>
      </c>
      <c r="E261" s="5" t="str">
        <f>"统计学"</f>
        <v>统计学</v>
      </c>
      <c r="F261" s="5" t="str">
        <f>"2021"</f>
        <v>2021</v>
      </c>
      <c r="G261" s="5" t="str">
        <f>"数学分析Ⅰ（理科）"</f>
        <v>数学分析Ⅰ（理科）</v>
      </c>
      <c r="H261" s="5" t="str">
        <f>"通识基础课"</f>
        <v>通识基础课</v>
      </c>
      <c r="I261" s="5" t="str">
        <f>"周一第1，2节{第1-17周}，周一第3节{第1-17周}，周三第1，2节{第1-17周}，周三第3节{第1-17周}"</f>
        <v>周一第1，2节{第1-17周}，周一第3节{第1-17周}，周三第1，2节{第1-17周}，周三第3节{第1-17周}</v>
      </c>
      <c r="J261" s="5" t="str">
        <f>"数学学院"</f>
        <v>数学学院</v>
      </c>
      <c r="K261" s="5" t="str">
        <f>"黎伟"</f>
        <v>黎伟</v>
      </c>
    </row>
    <row r="262" ht="120" spans="1:11">
      <c r="A262" s="6">
        <v>260</v>
      </c>
      <c r="B262" s="5" t="str">
        <f>"223070100015"</f>
        <v>223070100015</v>
      </c>
      <c r="C262" s="5" t="str">
        <f>"曾文黎"</f>
        <v>曾文黎</v>
      </c>
      <c r="D262" s="5" t="str">
        <f>"女"</f>
        <v>女</v>
      </c>
      <c r="E262" s="5" t="str">
        <f>"数学"</f>
        <v>数学</v>
      </c>
      <c r="F262" s="5" t="str">
        <f>"2023"</f>
        <v>2023</v>
      </c>
      <c r="G262" s="5" t="str">
        <f>"高等代数Ⅰ"</f>
        <v>高等代数Ⅰ</v>
      </c>
      <c r="H262" s="5" t="str">
        <f>"通识基础课"</f>
        <v>通识基础课</v>
      </c>
      <c r="I262" s="5" t="str">
        <f>"周一第3，4节{第1-17周}，周四第6节{第1-17周}，周四第7节{第1-17周}"</f>
        <v>周一第3，4节{第1-17周}，周四第6节{第1-17周}，周四第7节{第1-17周}</v>
      </c>
      <c r="J262" s="5" t="str">
        <f>"数学学院"</f>
        <v>数学学院</v>
      </c>
      <c r="K262" s="5" t="str">
        <f>"顾先明"</f>
        <v>顾先明</v>
      </c>
    </row>
    <row r="263" ht="120" spans="1:11">
      <c r="A263" s="6">
        <v>261</v>
      </c>
      <c r="B263" s="5" t="str">
        <f>"123020201001"</f>
        <v>123020201001</v>
      </c>
      <c r="C263" s="5" t="str">
        <f>"赵泽华"</f>
        <v>赵泽华</v>
      </c>
      <c r="D263" s="5" t="str">
        <f>"男"</f>
        <v>男</v>
      </c>
      <c r="E263" s="5" t="str">
        <f>"国民经济学"</f>
        <v>国民经济学</v>
      </c>
      <c r="F263" s="5" t="str">
        <f>"2023"</f>
        <v>2023</v>
      </c>
      <c r="G263" s="5" t="str">
        <f>"高等数学Ⅰ"</f>
        <v>高等数学Ⅰ</v>
      </c>
      <c r="H263" s="5" t="str">
        <f>"通识基础课"</f>
        <v>通识基础课</v>
      </c>
      <c r="I263" s="5" t="str">
        <f>"周二第3，4节{第1-17周}，周四第5，6节{第1-17周}，周四第7节{第1-17周}"</f>
        <v>周二第3，4节{第1-17周}，周四第5，6节{第1-17周}，周四第7节{第1-17周}</v>
      </c>
      <c r="J263" s="5" t="str">
        <f>"数学学院"</f>
        <v>数学学院</v>
      </c>
      <c r="K263" s="5" t="str">
        <f>"余喜生"</f>
        <v>余喜生</v>
      </c>
    </row>
    <row r="264" ht="120" spans="1:11">
      <c r="A264" s="6">
        <v>262</v>
      </c>
      <c r="B264" s="5" t="str">
        <f>"123020204048"</f>
        <v>123020204048</v>
      </c>
      <c r="C264" s="5" t="str">
        <f>"刘华"</f>
        <v>刘华</v>
      </c>
      <c r="D264" s="5" t="str">
        <f>"女"</f>
        <v>女</v>
      </c>
      <c r="E264" s="5" t="str">
        <f>"金融学"</f>
        <v>金融学</v>
      </c>
      <c r="F264" s="5" t="str">
        <f>"2023"</f>
        <v>2023</v>
      </c>
      <c r="G264" s="5" t="str">
        <f>"高等数学Ⅰ"</f>
        <v>高等数学Ⅰ</v>
      </c>
      <c r="H264" s="5" t="str">
        <f>"通识基础课"</f>
        <v>通识基础课</v>
      </c>
      <c r="I264" s="5" t="str">
        <f>"周二第1，2节{第1-17周}，周四第1，2节{第1-17周}，周四第3节{第1-17周}"</f>
        <v>周二第1，2节{第1-17周}，周四第1，2节{第1-17周}，周四第3节{第1-17周}</v>
      </c>
      <c r="J264" s="5" t="str">
        <f>"数学学院"</f>
        <v>数学学院</v>
      </c>
      <c r="K264" s="5" t="str">
        <f>"余喜生"</f>
        <v>余喜生</v>
      </c>
    </row>
    <row r="265" ht="84" spans="1:11">
      <c r="A265" s="6">
        <v>263</v>
      </c>
      <c r="B265" s="5" t="str">
        <f>"223070100027"</f>
        <v>223070100027</v>
      </c>
      <c r="C265" s="5" t="str">
        <f>"曾启旺"</f>
        <v>曾启旺</v>
      </c>
      <c r="D265" s="5" t="str">
        <f>"女"</f>
        <v>女</v>
      </c>
      <c r="E265" s="5" t="str">
        <f>"数学"</f>
        <v>数学</v>
      </c>
      <c r="F265" s="5" t="str">
        <f>"2023"</f>
        <v>2023</v>
      </c>
      <c r="G265" s="5" t="str">
        <f>"高等代数Ⅰ"</f>
        <v>高等代数Ⅰ</v>
      </c>
      <c r="H265" s="5" t="str">
        <f>"通识基础课"</f>
        <v>通识基础课</v>
      </c>
      <c r="I265" s="5" t="str">
        <f>"周一第3，4节{第1-17周}，周四第3，4节{第1-17周}"</f>
        <v>周一第3，4节{第1-17周}，周四第3，4节{第1-17周}</v>
      </c>
      <c r="J265" s="5" t="str">
        <f>"数学学院"</f>
        <v>数学学院</v>
      </c>
      <c r="K265" s="5" t="str">
        <f>"高雪梅"</f>
        <v>高雪梅</v>
      </c>
    </row>
    <row r="266" ht="120" spans="1:11">
      <c r="A266" s="6">
        <v>264</v>
      </c>
      <c r="B266" s="5" t="str">
        <f>"121020201002"</f>
        <v>121020201002</v>
      </c>
      <c r="C266" s="5" t="str">
        <f>"田嫒"</f>
        <v>田嫒</v>
      </c>
      <c r="D266" s="5" t="str">
        <f>"女"</f>
        <v>女</v>
      </c>
      <c r="E266" s="5" t="str">
        <f>"国民经济学"</f>
        <v>国民经济学</v>
      </c>
      <c r="F266" s="5" t="str">
        <f>"2021"</f>
        <v>2021</v>
      </c>
      <c r="G266" s="5" t="str">
        <f>"高等数学Ⅰ"</f>
        <v>高等数学Ⅰ</v>
      </c>
      <c r="H266" s="5" t="str">
        <f>"通识基础课"</f>
        <v>通识基础课</v>
      </c>
      <c r="I266" s="5" t="str">
        <f>"周一第3，4节{第1-17周}，周三第1，2节{第1-17周}，周三第3节{第1-17周}"</f>
        <v>周一第3，4节{第1-17周}，周三第1，2节{第1-17周}，周三第3节{第1-17周}</v>
      </c>
      <c r="J266" s="5" t="str">
        <f>"数学学院"</f>
        <v>数学学院</v>
      </c>
      <c r="K266" s="5" t="str">
        <f>"代宏霞"</f>
        <v>代宏霞</v>
      </c>
    </row>
    <row r="267" ht="84" spans="1:11">
      <c r="A267" s="6">
        <v>265</v>
      </c>
      <c r="B267" s="5" t="str">
        <f>"121020202004"</f>
        <v>121020202004</v>
      </c>
      <c r="C267" s="5" t="str">
        <f>"丁登龙"</f>
        <v>丁登龙</v>
      </c>
      <c r="D267" s="5" t="str">
        <f>"男"</f>
        <v>男</v>
      </c>
      <c r="E267" s="5" t="str">
        <f>"区域经济学"</f>
        <v>区域经济学</v>
      </c>
      <c r="F267" s="5" t="str">
        <f>"2021"</f>
        <v>2021</v>
      </c>
      <c r="G267" s="5" t="str">
        <f>"概率论（理科）"</f>
        <v>概率论（理科）</v>
      </c>
      <c r="H267" s="5" t="str">
        <f>"通识基础课"</f>
        <v>通识基础课</v>
      </c>
      <c r="I267" s="5" t="str">
        <f>"周三第1，2节{第1-17周}，周四第5，6节{第1-17周}"</f>
        <v>周三第1，2节{第1-17周}，周四第5，6节{第1-17周}</v>
      </c>
      <c r="J267" s="5" t="str">
        <f>"数学学院"</f>
        <v>数学学院</v>
      </c>
      <c r="K267" s="5" t="str">
        <f>"骆川义"</f>
        <v>骆川义</v>
      </c>
    </row>
    <row r="268" ht="84" spans="1:11">
      <c r="A268" s="6">
        <v>266</v>
      </c>
      <c r="B268" s="5" t="str">
        <f>"1220202Z1003"</f>
        <v>1220202Z1003</v>
      </c>
      <c r="C268" s="5" t="str">
        <f>"黄红振"</f>
        <v>黄红振</v>
      </c>
      <c r="D268" s="5" t="str">
        <f>"男"</f>
        <v>男</v>
      </c>
      <c r="E268" s="5" t="str">
        <f>"数理金融学"</f>
        <v>数理金融学</v>
      </c>
      <c r="F268" s="5" t="str">
        <f>"2022"</f>
        <v>2022</v>
      </c>
      <c r="G268" s="5" t="str">
        <f>"运筹学"</f>
        <v>运筹学</v>
      </c>
      <c r="H268" s="5" t="str">
        <f>"专业必修课"</f>
        <v>专业必修课</v>
      </c>
      <c r="I268" s="5" t="str">
        <f>"周四第5，6节{第1-17周}，周四第7节{第1-17周}"</f>
        <v>周四第5，6节{第1-17周}，周四第7节{第1-17周}</v>
      </c>
      <c r="J268" s="5" t="str">
        <f>"数学学院"</f>
        <v>数学学院</v>
      </c>
      <c r="K268" s="5" t="str">
        <f>"张文燕"</f>
        <v>张文燕</v>
      </c>
    </row>
    <row r="269" ht="156" spans="1:11">
      <c r="A269" s="6">
        <v>267</v>
      </c>
      <c r="B269" s="5" t="str">
        <f>"121120201002"</f>
        <v>121120201002</v>
      </c>
      <c r="C269" s="5" t="str">
        <f>"蒋维"</f>
        <v>蒋维</v>
      </c>
      <c r="D269" s="5" t="str">
        <f>"女"</f>
        <v>女</v>
      </c>
      <c r="E269" s="5" t="str">
        <f>"会计学"</f>
        <v>会计学</v>
      </c>
      <c r="F269" s="5" t="str">
        <f>"2021"</f>
        <v>2021</v>
      </c>
      <c r="G269" s="5" t="str">
        <f>"数学分析Ⅰ（理科）"</f>
        <v>数学分析Ⅰ（理科）</v>
      </c>
      <c r="H269" s="5" t="str">
        <f>"通识基础课"</f>
        <v>通识基础课</v>
      </c>
      <c r="I269" s="5" t="str">
        <f>"周一第5，6节{第1-17周}，周一第7节{第1-17周}，周三第5，6节{第1-17周}，周三第7节{第1-17周}"</f>
        <v>周一第5，6节{第1-17周}，周一第7节{第1-17周}，周三第5，6节{第1-17周}，周三第7节{第1-17周}</v>
      </c>
      <c r="J269" s="5" t="str">
        <f>"数学学院"</f>
        <v>数学学院</v>
      </c>
      <c r="K269" s="5" t="str">
        <f>"黎伟"</f>
        <v>黎伟</v>
      </c>
    </row>
    <row r="270" ht="120" spans="1:11">
      <c r="A270" s="6">
        <v>268</v>
      </c>
      <c r="B270" s="5" t="str">
        <f>"222070100017"</f>
        <v>222070100017</v>
      </c>
      <c r="C270" s="5" t="str">
        <f>"芦彦"</f>
        <v>芦彦</v>
      </c>
      <c r="D270" s="5" t="str">
        <f>"女"</f>
        <v>女</v>
      </c>
      <c r="E270" s="5" t="str">
        <f>"数学"</f>
        <v>数学</v>
      </c>
      <c r="F270" s="5" t="str">
        <f>"2022"</f>
        <v>2022</v>
      </c>
      <c r="G270" s="5" t="str">
        <f>"高等数学Ⅰ"</f>
        <v>高等数学Ⅰ</v>
      </c>
      <c r="H270" s="5" t="str">
        <f>"通识基础课"</f>
        <v>通识基础课</v>
      </c>
      <c r="I270" s="5" t="str">
        <f>"周二第3，4节{第1-17周}，周四第5，6节{第1-17周}，周四第7节{第1-17周}"</f>
        <v>周二第3，4节{第1-17周}，周四第5，6节{第1-17周}，周四第7节{第1-17周}</v>
      </c>
      <c r="J270" s="5" t="str">
        <f>"数学学院"</f>
        <v>数学学院</v>
      </c>
      <c r="K270" s="5" t="str">
        <f>"刘彩平"</f>
        <v>刘彩平</v>
      </c>
    </row>
    <row r="271" ht="84" spans="1:11">
      <c r="A271" s="6">
        <v>269</v>
      </c>
      <c r="B271" s="5" t="str">
        <f>"223020204106"</f>
        <v>223020204106</v>
      </c>
      <c r="C271" s="5" t="str">
        <f>"周显凤"</f>
        <v>周显凤</v>
      </c>
      <c r="D271" s="5" t="str">
        <f>"男"</f>
        <v>男</v>
      </c>
      <c r="E271" s="5" t="str">
        <f>"金融学"</f>
        <v>金融学</v>
      </c>
      <c r="F271" s="5" t="str">
        <f>"2023"</f>
        <v>2023</v>
      </c>
      <c r="G271" s="5" t="str">
        <f>"金融随机分析"</f>
        <v>金融随机分析</v>
      </c>
      <c r="H271" s="5" t="str">
        <f>"专业必修课"</f>
        <v>专业必修课</v>
      </c>
      <c r="I271" s="5" t="str">
        <f>"周二第1，2节{第1-17周}，周二第3节{第1-17周}"</f>
        <v>周二第1，2节{第1-17周}，周二第3节{第1-17周}</v>
      </c>
      <c r="J271" s="5" t="str">
        <f>"数学学院"</f>
        <v>数学学院</v>
      </c>
      <c r="K271" s="5" t="str">
        <f>"梁浩"</f>
        <v>梁浩</v>
      </c>
    </row>
    <row r="272" ht="84" spans="1:11">
      <c r="A272" s="6">
        <v>270</v>
      </c>
      <c r="B272" s="5" t="str">
        <f>"123120203002"</f>
        <v>123120203002</v>
      </c>
      <c r="C272" s="5" t="str">
        <f>"秦银燕"</f>
        <v>秦银燕</v>
      </c>
      <c r="D272" s="5" t="str">
        <f>"女"</f>
        <v>女</v>
      </c>
      <c r="E272" s="5" t="str">
        <f>"旅游管理"</f>
        <v>旅游管理</v>
      </c>
      <c r="F272" s="5" t="str">
        <f>"2023"</f>
        <v>2023</v>
      </c>
      <c r="G272" s="5" t="str">
        <f>"偏微分方程"</f>
        <v>偏微分方程</v>
      </c>
      <c r="H272" s="5" t="str">
        <f>"专业必修课"</f>
        <v>专业必修课</v>
      </c>
      <c r="I272" s="5" t="str">
        <f>"周四第5，6节{第1-17周}，周四第7节{第1-17周}"</f>
        <v>周四第5，6节{第1-17周}，周四第7节{第1-17周}</v>
      </c>
      <c r="J272" s="5" t="str">
        <f>"数学学院"</f>
        <v>数学学院</v>
      </c>
      <c r="K272" s="5" t="str">
        <f>"王琪"</f>
        <v>王琪</v>
      </c>
    </row>
    <row r="273" ht="84" spans="1:11">
      <c r="A273" s="6">
        <v>271</v>
      </c>
      <c r="B273" s="5" t="str">
        <f>"2230202Z2002"</f>
        <v>2230202Z2002</v>
      </c>
      <c r="C273" s="5" t="str">
        <f>"张俊"</f>
        <v>张俊</v>
      </c>
      <c r="D273" s="5" t="str">
        <f>"男"</f>
        <v>男</v>
      </c>
      <c r="E273" s="5" t="str">
        <f>"金融工程"</f>
        <v>金融工程</v>
      </c>
      <c r="F273" s="5" t="str">
        <f>"2023"</f>
        <v>2023</v>
      </c>
      <c r="G273" s="5" t="str">
        <f>"高等代数Ⅰ"</f>
        <v>高等代数Ⅰ</v>
      </c>
      <c r="H273" s="5" t="str">
        <f>"通识基础课"</f>
        <v>通识基础课</v>
      </c>
      <c r="I273" s="5" t="str">
        <f>"周三第3，4节{第1-17周}，周四第3，4节{第1-17周}"</f>
        <v>周三第3，4节{第1-17周}，周四第3，4节{第1-17周}</v>
      </c>
      <c r="J273" s="5" t="str">
        <f>"数学学院"</f>
        <v>数学学院</v>
      </c>
      <c r="K273" s="5" t="str">
        <f>"樊胜"</f>
        <v>樊胜</v>
      </c>
    </row>
    <row r="274" ht="84" spans="1:11">
      <c r="A274" s="6">
        <v>272</v>
      </c>
      <c r="B274" s="5" t="str">
        <f>"2210202Z1002"</f>
        <v>2210202Z1002</v>
      </c>
      <c r="C274" s="5" t="str">
        <f>"封俊宏"</f>
        <v>封俊宏</v>
      </c>
      <c r="D274" s="5" t="str">
        <f>"男"</f>
        <v>男</v>
      </c>
      <c r="E274" s="5" t="str">
        <f>"数理金融学"</f>
        <v>数理金融学</v>
      </c>
      <c r="F274" s="5" t="str">
        <f>"2021"</f>
        <v>2021</v>
      </c>
      <c r="G274" s="5" t="str">
        <f>"常微分方程"</f>
        <v>常微分方程</v>
      </c>
      <c r="H274" s="5" t="str">
        <f>"大学科基础课"</f>
        <v>大学科基础课</v>
      </c>
      <c r="I274" s="5" t="str">
        <f>"周一第5，6节{第1-17周}，周一第7节{第1-17周}"</f>
        <v>周一第5，6节{第1-17周}，周一第7节{第1-17周}</v>
      </c>
      <c r="J274" s="5" t="str">
        <f>"数学学院"</f>
        <v>数学学院</v>
      </c>
      <c r="K274" s="5" t="str">
        <f>"冯保伟"</f>
        <v>冯保伟</v>
      </c>
    </row>
    <row r="275" ht="120" spans="1:11">
      <c r="A275" s="6">
        <v>273</v>
      </c>
      <c r="B275" s="5" t="str">
        <f>"1211202Z9004"</f>
        <v>1211202Z9004</v>
      </c>
      <c r="C275" s="5" t="str">
        <f>"张静"</f>
        <v>张静</v>
      </c>
      <c r="D275" s="5" t="str">
        <f>"女"</f>
        <v>女</v>
      </c>
      <c r="E275" s="5" t="str">
        <f>"物流与供应链管理"</f>
        <v>物流与供应链管理</v>
      </c>
      <c r="F275" s="5" t="str">
        <f>"2021"</f>
        <v>2021</v>
      </c>
      <c r="G275" s="5" t="str">
        <f>"概率论（理科）"</f>
        <v>概率论（理科）</v>
      </c>
      <c r="H275" s="5" t="str">
        <f>"通识基础课"</f>
        <v>通识基础课</v>
      </c>
      <c r="I275" s="5" t="str">
        <f>"周三第1，2节{第1-17周}，周四第6节{第1-17周}，周四第7节{第1-17周}"</f>
        <v>周三第1，2节{第1-17周}，周四第6节{第1-17周}，周四第7节{第1-17周}</v>
      </c>
      <c r="J275" s="5" t="str">
        <f>"数学学院"</f>
        <v>数学学院</v>
      </c>
      <c r="K275" s="5" t="str">
        <f>"游杰"</f>
        <v>游杰</v>
      </c>
    </row>
    <row r="276" ht="48" spans="1:11">
      <c r="A276" s="6">
        <v>274</v>
      </c>
      <c r="B276" s="5" t="str">
        <f>"223070100001"</f>
        <v>223070100001</v>
      </c>
      <c r="C276" s="5" t="str">
        <f>"贾思琪"</f>
        <v>贾思琪</v>
      </c>
      <c r="D276" s="5" t="str">
        <f>"女"</f>
        <v>女</v>
      </c>
      <c r="E276" s="5" t="str">
        <f>"数学"</f>
        <v>数学</v>
      </c>
      <c r="F276" s="5" t="str">
        <f>"2023"</f>
        <v>2023</v>
      </c>
      <c r="G276" s="5" t="str">
        <f>"优化理论"</f>
        <v>优化理论</v>
      </c>
      <c r="H276" s="5" t="str">
        <f>"自由选修课"</f>
        <v>自由选修课</v>
      </c>
      <c r="I276" s="5" t="str">
        <f>"周四第1，2，3节{第1-17周}"</f>
        <v>周四第1，2，3节{第1-17周}</v>
      </c>
      <c r="J276" s="5" t="str">
        <f>"数学学院"</f>
        <v>数学学院</v>
      </c>
      <c r="K276" s="5" t="str">
        <f>"朱胜坤"</f>
        <v>朱胜坤</v>
      </c>
    </row>
    <row r="277" ht="84" spans="1:11">
      <c r="A277" s="6">
        <v>275</v>
      </c>
      <c r="B277" s="5" t="str">
        <f>"2230202Z1026"</f>
        <v>2230202Z1026</v>
      </c>
      <c r="C277" s="5" t="str">
        <f>"刘琼莲"</f>
        <v>刘琼莲</v>
      </c>
      <c r="D277" s="5" t="str">
        <f>"女"</f>
        <v>女</v>
      </c>
      <c r="E277" s="5" t="str">
        <f>"数理金融学"</f>
        <v>数理金融学</v>
      </c>
      <c r="F277" s="5" t="str">
        <f>"2023"</f>
        <v>2023</v>
      </c>
      <c r="G277" s="5" t="str">
        <f>"高等代数Ⅱ"</f>
        <v>高等代数Ⅱ</v>
      </c>
      <c r="H277" s="5" t="str">
        <f>"通识基础课"</f>
        <v>通识基础课</v>
      </c>
      <c r="I277" s="5" t="str">
        <f>"周一第1，2节{第1-17周}，周三第3，4节{第1-17周}"</f>
        <v>周一第1，2节{第1-17周}，周三第3，4节{第1-17周}</v>
      </c>
      <c r="J277" s="5" t="str">
        <f>"数学学院"</f>
        <v>数学学院</v>
      </c>
      <c r="K277" s="5" t="str">
        <f>"韩本三"</f>
        <v>韩本三</v>
      </c>
    </row>
    <row r="278" ht="120" spans="1:11">
      <c r="A278" s="6">
        <v>276</v>
      </c>
      <c r="B278" s="5" t="str">
        <f>"121020103001"</f>
        <v>121020103001</v>
      </c>
      <c r="C278" s="5" t="str">
        <f>"石继红"</f>
        <v>石继红</v>
      </c>
      <c r="D278" s="5" t="str">
        <f>"女"</f>
        <v>女</v>
      </c>
      <c r="E278" s="5" t="str">
        <f>"经济史"</f>
        <v>经济史</v>
      </c>
      <c r="F278" s="5" t="str">
        <f>"2021"</f>
        <v>2021</v>
      </c>
      <c r="G278" s="5" t="str">
        <f>"高等数学Ⅰ"</f>
        <v>高等数学Ⅰ</v>
      </c>
      <c r="H278" s="5" t="str">
        <f>"通识基础课"</f>
        <v>通识基础课</v>
      </c>
      <c r="I278" s="5" t="str">
        <f>"周一第3，4节{第1-17周}，周三第1，2节{第1-17周}，周三第3节{第1-17周}"</f>
        <v>周一第3，4节{第1-17周}，周三第1，2节{第1-17周}，周三第3节{第1-17周}</v>
      </c>
      <c r="J278" s="5" t="str">
        <f>"数学学院"</f>
        <v>数学学院</v>
      </c>
      <c r="K278" s="5" t="str">
        <f>"刘文月"</f>
        <v>刘文月</v>
      </c>
    </row>
    <row r="279" ht="96" spans="1:11">
      <c r="A279" s="6">
        <v>277</v>
      </c>
      <c r="B279" s="5" t="str">
        <f>"222070100013"</f>
        <v>222070100013</v>
      </c>
      <c r="C279" s="5" t="str">
        <f>"毕皓"</f>
        <v>毕皓</v>
      </c>
      <c r="D279" s="5" t="str">
        <f>"男"</f>
        <v>男</v>
      </c>
      <c r="E279" s="5" t="str">
        <f>"数学"</f>
        <v>数学</v>
      </c>
      <c r="F279" s="5" t="str">
        <f>"2022"</f>
        <v>2022</v>
      </c>
      <c r="G279" s="5" t="str">
        <f>"高等数学Ⅰ"</f>
        <v>高等数学Ⅰ</v>
      </c>
      <c r="H279" s="5" t="str">
        <f>"通识基础课"</f>
        <v>通识基础课</v>
      </c>
      <c r="I279" s="5" t="str">
        <f>"周一第3，4节{第1-17周}，周三第10，11，12节{第1-17周}"</f>
        <v>周一第3，4节{第1-17周}，周三第10，11，12节{第1-17周}</v>
      </c>
      <c r="J279" s="5" t="str">
        <f>"数学学院"</f>
        <v>数学学院</v>
      </c>
      <c r="K279" s="5" t="str">
        <f>"蒲洋"</f>
        <v>蒲洋</v>
      </c>
    </row>
    <row r="280" ht="120" spans="1:11">
      <c r="A280" s="6">
        <v>278</v>
      </c>
      <c r="B280" s="5" t="str">
        <f>"223070100016"</f>
        <v>223070100016</v>
      </c>
      <c r="C280" s="5" t="str">
        <f>"范琳琳"</f>
        <v>范琳琳</v>
      </c>
      <c r="D280" s="5" t="str">
        <f>"女"</f>
        <v>女</v>
      </c>
      <c r="E280" s="5" t="str">
        <f>"数学"</f>
        <v>数学</v>
      </c>
      <c r="F280" s="5" t="str">
        <f>"2023"</f>
        <v>2023</v>
      </c>
      <c r="G280" s="5" t="str">
        <f>"高等数学Ⅰ"</f>
        <v>高等数学Ⅰ</v>
      </c>
      <c r="H280" s="5" t="str">
        <f>"通识基础课"</f>
        <v>通识基础课</v>
      </c>
      <c r="I280" s="5" t="str">
        <f>"周一第7节{第1-17周}，周一第8，9节{第1-17周}，周三第10，11节{第1-17周}"</f>
        <v>周一第7节{第1-17周}，周一第8，9节{第1-17周}，周三第10，11节{第1-17周}</v>
      </c>
      <c r="J280" s="5" t="str">
        <f>"数学学院"</f>
        <v>数学学院</v>
      </c>
      <c r="K280" s="5" t="str">
        <f>"王韦龙"</f>
        <v>王韦龙</v>
      </c>
    </row>
    <row r="281" ht="120" spans="1:11">
      <c r="A281" s="6">
        <v>279</v>
      </c>
      <c r="B281" s="5" t="str">
        <f>"1210202J5003"</f>
        <v>1210202J5003</v>
      </c>
      <c r="C281" s="5" t="str">
        <f>"唐小雪"</f>
        <v>唐小雪</v>
      </c>
      <c r="D281" s="5" t="str">
        <f>"女"</f>
        <v>女</v>
      </c>
      <c r="E281" s="5" t="str">
        <f>"农业经济学"</f>
        <v>农业经济学</v>
      </c>
      <c r="F281" s="5" t="str">
        <f>"2021"</f>
        <v>2021</v>
      </c>
      <c r="G281" s="5" t="str">
        <f>"高等数学Ⅰ"</f>
        <v>高等数学Ⅰ</v>
      </c>
      <c r="H281" s="5" t="str">
        <f>"通识基础课"</f>
        <v>通识基础课</v>
      </c>
      <c r="I281" s="5" t="str">
        <f>"周一第8，9节{第1-17周}，周三第5，6节{第1-17周}，周三第7节{第1-17周}"</f>
        <v>周一第8，9节{第1-17周}，周三第5，6节{第1-17周}，周三第7节{第1-17周}</v>
      </c>
      <c r="J281" s="5" t="str">
        <f>"数学学院"</f>
        <v>数学学院</v>
      </c>
      <c r="K281" s="5" t="str">
        <f>"蒲洋"</f>
        <v>蒲洋</v>
      </c>
    </row>
    <row r="282" ht="120" spans="1:11">
      <c r="A282" s="6">
        <v>280</v>
      </c>
      <c r="B282" s="5" t="str">
        <f>"1221201Z5002"</f>
        <v>1221201Z5002</v>
      </c>
      <c r="C282" s="5" t="str">
        <f>"黄钰云"</f>
        <v>黄钰云</v>
      </c>
      <c r="D282" s="5" t="str">
        <f>"女"</f>
        <v>女</v>
      </c>
      <c r="E282" s="5" t="str">
        <f>"大数据管理"</f>
        <v>大数据管理</v>
      </c>
      <c r="F282" s="5" t="str">
        <f>"2022"</f>
        <v>2022</v>
      </c>
      <c r="G282" s="5" t="str">
        <f>"高等代数Ⅰ"</f>
        <v>高等代数Ⅰ</v>
      </c>
      <c r="H282" s="5" t="str">
        <f>"通识基础课"</f>
        <v>通识基础课</v>
      </c>
      <c r="I282" s="5" t="str">
        <f>"周一第1，2节{第1-17周}，周三第6节{第1-17周}，周三第7节{第1-17周}"</f>
        <v>周一第1，2节{第1-17周}，周三第6节{第1-17周}，周三第7节{第1-17周}</v>
      </c>
      <c r="J282" s="5" t="str">
        <f>"数学学院"</f>
        <v>数学学院</v>
      </c>
      <c r="K282" s="5" t="str">
        <f>"李坤"</f>
        <v>李坤</v>
      </c>
    </row>
    <row r="283" ht="24" spans="1:11">
      <c r="A283" s="6">
        <v>281</v>
      </c>
      <c r="B283" s="5" t="str">
        <f>"2230202Z1015"</f>
        <v>2230202Z1015</v>
      </c>
      <c r="C283" s="5" t="str">
        <f>"巩豪博"</f>
        <v>巩豪博</v>
      </c>
      <c r="D283" s="5" t="str">
        <f>"男"</f>
        <v>男</v>
      </c>
      <c r="E283" s="5" t="str">
        <f>"数理金融学"</f>
        <v>数理金融学</v>
      </c>
      <c r="F283" s="5" t="str">
        <f>"2023"</f>
        <v>2023</v>
      </c>
      <c r="G283" s="5" t="str">
        <f>"线性代数MOOC"</f>
        <v>线性代数MOOC</v>
      </c>
      <c r="H283" s="5" t="str">
        <f>"慕课"</f>
        <v>慕课</v>
      </c>
      <c r="I283" s="5" t="str">
        <f>"2024年9-12月"</f>
        <v>2024年9-12月</v>
      </c>
      <c r="J283" s="5" t="str">
        <f>"数学学院"</f>
        <v>数学学院</v>
      </c>
      <c r="K283" s="5" t="str">
        <f>"韩本三"</f>
        <v>韩本三</v>
      </c>
    </row>
    <row r="284" ht="120" spans="1:11">
      <c r="A284" s="6">
        <v>282</v>
      </c>
      <c r="B284" s="5" t="str">
        <f>"223020104033"</f>
        <v>223020104033</v>
      </c>
      <c r="C284" s="5" t="str">
        <f>"胡嘉瑛"</f>
        <v>胡嘉瑛</v>
      </c>
      <c r="D284" s="5" t="str">
        <f>"女"</f>
        <v>女</v>
      </c>
      <c r="E284" s="5" t="str">
        <f>"西方经济学"</f>
        <v>西方经济学</v>
      </c>
      <c r="F284" s="5" t="str">
        <f>"2023"</f>
        <v>2023</v>
      </c>
      <c r="G284" s="5" t="str">
        <f>"高等数学Ⅰ"</f>
        <v>高等数学Ⅰ</v>
      </c>
      <c r="H284" s="5" t="str">
        <f>"通识基础课"</f>
        <v>通识基础课</v>
      </c>
      <c r="I284" s="5" t="str">
        <f>"周一第1，2节{第1-17周}，周三第5，6节{第1-17周}，周三第7节{第1-17周}"</f>
        <v>周一第1，2节{第1-17周}，周三第5，6节{第1-17周}，周三第7节{第1-17周}</v>
      </c>
      <c r="J284" s="5" t="str">
        <f>"数学学院"</f>
        <v>数学学院</v>
      </c>
      <c r="K284" s="5" t="str">
        <f>"王祥"</f>
        <v>王祥</v>
      </c>
    </row>
    <row r="285" ht="84" spans="1:11">
      <c r="A285" s="6">
        <v>283</v>
      </c>
      <c r="B285" s="5" t="str">
        <f>"2230202Z1014"</f>
        <v>2230202Z1014</v>
      </c>
      <c r="C285" s="5" t="str">
        <f>"荆宇"</f>
        <v>荆宇</v>
      </c>
      <c r="D285" s="5" t="str">
        <f>"男"</f>
        <v>男</v>
      </c>
      <c r="E285" s="5" t="str">
        <f>"数理金融学"</f>
        <v>数理金融学</v>
      </c>
      <c r="F285" s="5" t="str">
        <f>"2023"</f>
        <v>2023</v>
      </c>
      <c r="G285" s="5" t="str">
        <f>"概率论（理科）"</f>
        <v>概率论（理科）</v>
      </c>
      <c r="H285" s="5" t="str">
        <f>"通识基础课"</f>
        <v>通识基础课</v>
      </c>
      <c r="I285" s="5" t="str">
        <f>"周三第8，9节{第1-17周}，周四第8，9节{第1-17周}"</f>
        <v>周三第8，9节{第1-17周}，周四第8，9节{第1-17周}</v>
      </c>
      <c r="J285" s="5" t="str">
        <f>"数学学院"</f>
        <v>数学学院</v>
      </c>
      <c r="K285" s="5" t="str">
        <f>"游杰"</f>
        <v>游杰</v>
      </c>
    </row>
    <row r="286" ht="156" spans="1:11">
      <c r="A286" s="6">
        <v>284</v>
      </c>
      <c r="B286" s="5" t="str">
        <f>"123070100004"</f>
        <v>123070100004</v>
      </c>
      <c r="C286" s="5" t="str">
        <f>"王圣"</f>
        <v>王圣</v>
      </c>
      <c r="D286" s="5" t="str">
        <f>"男"</f>
        <v>男</v>
      </c>
      <c r="E286" s="5" t="str">
        <f>"数学"</f>
        <v>数学</v>
      </c>
      <c r="F286" s="5" t="str">
        <f>"2023"</f>
        <v>2023</v>
      </c>
      <c r="G286" s="5" t="str">
        <f>"数学分析Ⅰ"</f>
        <v>数学分析Ⅰ</v>
      </c>
      <c r="H286" s="5" t="str">
        <f>"通识基础课"</f>
        <v>通识基础课</v>
      </c>
      <c r="I286" s="5" t="str">
        <f>"周二第1，2节{第1-17周}，周二第3节{第1-17周}，周三第1，2节{第1-17周}，周三第3节{第1-17周}"</f>
        <v>周二第1，2节{第1-17周}，周二第3节{第1-17周}，周三第1，2节{第1-17周}，周三第3节{第1-17周}</v>
      </c>
      <c r="J286" s="5" t="str">
        <f>"数学学院"</f>
        <v>数学学院</v>
      </c>
      <c r="K286" s="5" t="str">
        <f>"冯保伟"</f>
        <v>冯保伟</v>
      </c>
    </row>
    <row r="287" ht="84" spans="1:11">
      <c r="A287" s="6">
        <v>285</v>
      </c>
      <c r="B287" s="5" t="str">
        <f>"123020204008"</f>
        <v>123020204008</v>
      </c>
      <c r="C287" s="5" t="str">
        <f>"赵文轩"</f>
        <v>赵文轩</v>
      </c>
      <c r="D287" s="5" t="str">
        <f>"男"</f>
        <v>男</v>
      </c>
      <c r="E287" s="5" t="str">
        <f>"金融学"</f>
        <v>金融学</v>
      </c>
      <c r="F287" s="5" t="str">
        <f>"2023"</f>
        <v>2023</v>
      </c>
      <c r="G287" s="5" t="str">
        <f>"高等代数Ⅰ"</f>
        <v>高等代数Ⅰ</v>
      </c>
      <c r="H287" s="5" t="str">
        <f>"通识基础课"</f>
        <v>通识基础课</v>
      </c>
      <c r="I287" s="5" t="str">
        <f>"周一第1，2节{第1-17周}，周三第1，2节{第1-17周}"</f>
        <v>周一第1，2节{第1-17周}，周三第1，2节{第1-17周}</v>
      </c>
      <c r="J287" s="5" t="str">
        <f>"数学学院"</f>
        <v>数学学院</v>
      </c>
      <c r="K287" s="5" t="str">
        <f>"陈轶骅"</f>
        <v>陈轶骅</v>
      </c>
    </row>
    <row r="288" ht="120" spans="1:11">
      <c r="A288" s="6">
        <v>286</v>
      </c>
      <c r="B288" s="5" t="str">
        <f>"2230202Z1012"</f>
        <v>2230202Z1012</v>
      </c>
      <c r="C288" s="5" t="str">
        <f>"张骥"</f>
        <v>张骥</v>
      </c>
      <c r="D288" s="5" t="str">
        <f>"男"</f>
        <v>男</v>
      </c>
      <c r="E288" s="5" t="str">
        <f>"数理金融学"</f>
        <v>数理金融学</v>
      </c>
      <c r="F288" s="5" t="str">
        <f>"2023"</f>
        <v>2023</v>
      </c>
      <c r="G288" s="5" t="str">
        <f>"高等数学Ⅰ"</f>
        <v>高等数学Ⅰ</v>
      </c>
      <c r="H288" s="5" t="str">
        <f>"通识基础课"</f>
        <v>通识基础课</v>
      </c>
      <c r="I288" s="5" t="str">
        <f>"周一第1，2节{第1-17周}，周三第5，6节{第1-17周}，周三第7节{第1-17周}"</f>
        <v>周一第1，2节{第1-17周}，周三第5，6节{第1-17周}，周三第7节{第1-17周}</v>
      </c>
      <c r="J288" s="5" t="str">
        <f>"数学学院"</f>
        <v>数学学院</v>
      </c>
      <c r="K288" s="5" t="str">
        <f>"刘文月"</f>
        <v>刘文月</v>
      </c>
    </row>
    <row r="289" ht="84" spans="1:11">
      <c r="A289" s="6">
        <v>287</v>
      </c>
      <c r="B289" s="5" t="str">
        <f>"1210202Z1011"</f>
        <v>1210202Z1011</v>
      </c>
      <c r="C289" s="5" t="str">
        <f>"夏雪"</f>
        <v>夏雪</v>
      </c>
      <c r="D289" s="5" t="str">
        <f>"女"</f>
        <v>女</v>
      </c>
      <c r="E289" s="5" t="str">
        <f>"数理金融学"</f>
        <v>数理金融学</v>
      </c>
      <c r="F289" s="5" t="str">
        <f>"2021"</f>
        <v>2021</v>
      </c>
      <c r="G289" s="5" t="str">
        <f>"高等代数Ⅰ"</f>
        <v>高等代数Ⅰ</v>
      </c>
      <c r="H289" s="5" t="str">
        <f>"通识基础课"</f>
        <v>通识基础课</v>
      </c>
      <c r="I289" s="5" t="str">
        <f>"周二第1，2节{第1-17周}，周三第8，9节{第1-17周}"</f>
        <v>周二第1，2节{第1-17周}，周三第8，9节{第1-17周}</v>
      </c>
      <c r="J289" s="5" t="str">
        <f>"数学学院"</f>
        <v>数学学院</v>
      </c>
      <c r="K289" s="5" t="str">
        <f>"樊胜"</f>
        <v>樊胜</v>
      </c>
    </row>
    <row r="290" ht="120" spans="1:11">
      <c r="A290" s="6">
        <v>288</v>
      </c>
      <c r="B290" s="5" t="str">
        <f>"221070100018"</f>
        <v>221070100018</v>
      </c>
      <c r="C290" s="5" t="str">
        <f>"姚治佳"</f>
        <v>姚治佳</v>
      </c>
      <c r="D290" s="5" t="str">
        <f>"女"</f>
        <v>女</v>
      </c>
      <c r="E290" s="5" t="str">
        <f>"数学"</f>
        <v>数学</v>
      </c>
      <c r="F290" s="5" t="str">
        <f>"2021"</f>
        <v>2021</v>
      </c>
      <c r="G290" s="5" t="str">
        <f>"高等代数Ⅰ（理科）"</f>
        <v>高等代数Ⅰ（理科）</v>
      </c>
      <c r="H290" s="5" t="str">
        <f>"通识基础课"</f>
        <v>通识基础课</v>
      </c>
      <c r="I290" s="5" t="str">
        <f>"周三第5，6节{第1-17周}，周四第7节{第1-17周}，周四第8节{第1-17周}"</f>
        <v>周三第5，6节{第1-17周}，周四第7节{第1-17周}，周四第8节{第1-17周}</v>
      </c>
      <c r="J290" s="5" t="str">
        <f>"数学学院"</f>
        <v>数学学院</v>
      </c>
      <c r="K290" s="5" t="str">
        <f>"朱胜坤"</f>
        <v>朱胜坤</v>
      </c>
    </row>
    <row r="291" ht="120" spans="1:11">
      <c r="A291" s="6">
        <v>289</v>
      </c>
      <c r="B291" s="5" t="str">
        <f>"223070100012"</f>
        <v>223070100012</v>
      </c>
      <c r="C291" s="5" t="str">
        <f>"穆淑敏"</f>
        <v>穆淑敏</v>
      </c>
      <c r="D291" s="5" t="str">
        <f>"女"</f>
        <v>女</v>
      </c>
      <c r="E291" s="5" t="str">
        <f>"数学"</f>
        <v>数学</v>
      </c>
      <c r="F291" s="5" t="str">
        <f>"2023"</f>
        <v>2023</v>
      </c>
      <c r="G291" s="5" t="str">
        <f>"高等数学Ⅰ"</f>
        <v>高等数学Ⅰ</v>
      </c>
      <c r="H291" s="5" t="str">
        <f>"通识基础课"</f>
        <v>通识基础课</v>
      </c>
      <c r="I291" s="5" t="str">
        <f>"周一第7节{第1-17周}，周一第8，9节{第1-17周}，周三第10，11节{第1-17周}"</f>
        <v>周一第7节{第1-17周}，周一第8，9节{第1-17周}，周三第10，11节{第1-17周}</v>
      </c>
      <c r="J291" s="5" t="str">
        <f>"数学学院"</f>
        <v>数学学院</v>
      </c>
      <c r="K291" s="5" t="str">
        <f>"李双龙"</f>
        <v>李双龙</v>
      </c>
    </row>
    <row r="292" ht="144" spans="1:11">
      <c r="A292" s="6">
        <v>290</v>
      </c>
      <c r="B292" s="5" t="str">
        <f>"222070100008"</f>
        <v>222070100008</v>
      </c>
      <c r="C292" s="5" t="str">
        <f>"薛倩倩"</f>
        <v>薛倩倩</v>
      </c>
      <c r="D292" s="5" t="str">
        <f>"女"</f>
        <v>女</v>
      </c>
      <c r="E292" s="5" t="str">
        <f>"数学"</f>
        <v>数学</v>
      </c>
      <c r="F292" s="5" t="str">
        <f>"2022"</f>
        <v>2022</v>
      </c>
      <c r="G292" s="5" t="str">
        <f>"数学分析Ⅰ"</f>
        <v>数学分析Ⅰ</v>
      </c>
      <c r="H292" s="5" t="str">
        <f>"通识基础课"</f>
        <v>通识基础课</v>
      </c>
      <c r="I292" s="5" t="str">
        <f>"周一第10，11，12节{第1-17周}，周三第1，2节{第1-17周}，周三第3节{第1-17周}"</f>
        <v>周一第10，11，12节{第1-17周}，周三第1，2节{第1-17周}，周三第3节{第1-17周}</v>
      </c>
      <c r="J292" s="5" t="str">
        <f>"数学学院"</f>
        <v>数学学院</v>
      </c>
      <c r="K292" s="5" t="str">
        <f>"刘伟"</f>
        <v>刘伟</v>
      </c>
    </row>
    <row r="293" ht="96" spans="1:11">
      <c r="A293" s="6">
        <v>291</v>
      </c>
      <c r="B293" s="5" t="str">
        <f>"222020204213"</f>
        <v>222020204213</v>
      </c>
      <c r="C293" s="5" t="str">
        <f>"闫龙龙"</f>
        <v>闫龙龙</v>
      </c>
      <c r="D293" s="5" t="str">
        <f>"男"</f>
        <v>男</v>
      </c>
      <c r="E293" s="5" t="str">
        <f>"金融学"</f>
        <v>金融学</v>
      </c>
      <c r="F293" s="5" t="str">
        <f>"2022"</f>
        <v>2022</v>
      </c>
      <c r="G293" s="5" t="str">
        <f>"高等数学Ⅰ"</f>
        <v>高等数学Ⅰ</v>
      </c>
      <c r="H293" s="5" t="str">
        <f>"通识基础课"</f>
        <v>通识基础课</v>
      </c>
      <c r="I293" s="5" t="str">
        <f>"周一第5，6节{第1-17周}，周三第10，11，12节{第1-17周}"</f>
        <v>周一第5，6节{第1-17周}，周三第10，11，12节{第1-17周}</v>
      </c>
      <c r="J293" s="5" t="str">
        <f>"数学学院"</f>
        <v>数学学院</v>
      </c>
      <c r="K293" s="5" t="str">
        <f>"王祥"</f>
        <v>王祥</v>
      </c>
    </row>
    <row r="294" ht="84" spans="1:11">
      <c r="A294" s="6">
        <v>292</v>
      </c>
      <c r="B294" s="5" t="str">
        <f>"222070100021"</f>
        <v>222070100021</v>
      </c>
      <c r="C294" s="5" t="str">
        <f>"徐丹"</f>
        <v>徐丹</v>
      </c>
      <c r="D294" s="5" t="str">
        <f>"女"</f>
        <v>女</v>
      </c>
      <c r="E294" s="5" t="str">
        <f>"数学"</f>
        <v>数学</v>
      </c>
      <c r="F294" s="5" t="str">
        <f>"2022"</f>
        <v>2022</v>
      </c>
      <c r="G294" s="5" t="str">
        <f>"常微分方程"</f>
        <v>常微分方程</v>
      </c>
      <c r="H294" s="5" t="str">
        <f>"大学科基础课"</f>
        <v>大学科基础课</v>
      </c>
      <c r="I294" s="5" t="str">
        <f>"周三第5，6节{第1-17周}，周三第7节{第1-17周}"</f>
        <v>周三第5，6节{第1-17周}，周三第7节{第1-17周}</v>
      </c>
      <c r="J294" s="5" t="str">
        <f>"数学学院"</f>
        <v>数学学院</v>
      </c>
      <c r="K294" s="5" t="str">
        <f>"冯保伟"</f>
        <v>冯保伟</v>
      </c>
    </row>
    <row r="295" ht="84" spans="1:11">
      <c r="A295" s="6">
        <v>293</v>
      </c>
      <c r="B295" s="5" t="str">
        <f>"1200202Z1008"</f>
        <v>1200202Z1008</v>
      </c>
      <c r="C295" s="5" t="str">
        <f>"张倩"</f>
        <v>张倩</v>
      </c>
      <c r="D295" s="5" t="str">
        <f>"女"</f>
        <v>女</v>
      </c>
      <c r="E295" s="5" t="str">
        <f>"数理金融学"</f>
        <v>数理金融学</v>
      </c>
      <c r="F295" s="5" t="str">
        <f>"2020"</f>
        <v>2020</v>
      </c>
      <c r="G295" s="5" t="str">
        <f>"偏微分方程"</f>
        <v>偏微分方程</v>
      </c>
      <c r="H295" s="5" t="str">
        <f>"专业必修课"</f>
        <v>专业必修课</v>
      </c>
      <c r="I295" s="5" t="str">
        <f>"周四第5，6节{第1-17周}，周四第7节{第1-17周}"</f>
        <v>周四第5，6节{第1-17周}，周四第7节{第1-17周}</v>
      </c>
      <c r="J295" s="5" t="str">
        <f>"数学学院"</f>
        <v>数学学院</v>
      </c>
      <c r="K295" s="5" t="str">
        <f>"王琪"</f>
        <v>王琪</v>
      </c>
    </row>
    <row r="296" ht="84" spans="1:11">
      <c r="A296" s="6">
        <v>294</v>
      </c>
      <c r="B296" s="5" t="str">
        <f>"222070100020"</f>
        <v>222070100020</v>
      </c>
      <c r="C296" s="5" t="str">
        <f>"唐珊珊"</f>
        <v>唐珊珊</v>
      </c>
      <c r="D296" s="5" t="str">
        <f>"女"</f>
        <v>女</v>
      </c>
      <c r="E296" s="5" t="str">
        <f>"数学"</f>
        <v>数学</v>
      </c>
      <c r="F296" s="5" t="str">
        <f>"2022"</f>
        <v>2022</v>
      </c>
      <c r="G296" s="5" t="str">
        <f>"高等代数Ⅰ（理科）"</f>
        <v>高等代数Ⅰ（理科）</v>
      </c>
      <c r="H296" s="5" t="str">
        <f>"通识基础课"</f>
        <v>通识基础课</v>
      </c>
      <c r="I296" s="5" t="str">
        <f>"周三第3，4节{第1-17周}，周四第5，6节{第1-17周}"</f>
        <v>周三第3，4节{第1-17周}，周四第5，6节{第1-17周}</v>
      </c>
      <c r="J296" s="5" t="str">
        <f>"数学学院"</f>
        <v>数学学院</v>
      </c>
      <c r="K296" s="5" t="str">
        <f>"朱胜坤"</f>
        <v>朱胜坤</v>
      </c>
    </row>
    <row r="297" ht="84" spans="1:11">
      <c r="A297" s="6">
        <v>295</v>
      </c>
      <c r="B297" s="5" t="str">
        <f>"1220202Z1004"</f>
        <v>1220202Z1004</v>
      </c>
      <c r="C297" s="5" t="str">
        <f>"黄飞"</f>
        <v>黄飞</v>
      </c>
      <c r="D297" s="5" t="str">
        <f>"男"</f>
        <v>男</v>
      </c>
      <c r="E297" s="5" t="str">
        <f>"数理金融学"</f>
        <v>数理金融学</v>
      </c>
      <c r="F297" s="5" t="str">
        <f>"2022"</f>
        <v>2022</v>
      </c>
      <c r="G297" s="5" t="str">
        <f>"近世代数"</f>
        <v>近世代数</v>
      </c>
      <c r="H297" s="5" t="str">
        <f>"大学科基础课"</f>
        <v>大学科基础课</v>
      </c>
      <c r="I297" s="5" t="str">
        <f>"周一第5，6节{第1-17周}，周一第7节{第1-17周}"</f>
        <v>周一第5，6节{第1-17周}，周一第7节{第1-17周}</v>
      </c>
      <c r="J297" s="5" t="str">
        <f>"数学学院"</f>
        <v>数学学院</v>
      </c>
      <c r="K297" s="5" t="str">
        <f>"陈轶骅"</f>
        <v>陈轶骅</v>
      </c>
    </row>
    <row r="298" ht="120" spans="1:11">
      <c r="A298" s="6">
        <v>296</v>
      </c>
      <c r="B298" s="5" t="str">
        <f>"223070100009"</f>
        <v>223070100009</v>
      </c>
      <c r="C298" s="5" t="str">
        <f>"陈国歌"</f>
        <v>陈国歌</v>
      </c>
      <c r="D298" s="5" t="str">
        <f>"男"</f>
        <v>男</v>
      </c>
      <c r="E298" s="5" t="str">
        <f>"数学"</f>
        <v>数学</v>
      </c>
      <c r="F298" s="5" t="str">
        <f>"2023"</f>
        <v>2023</v>
      </c>
      <c r="G298" s="5" t="str">
        <f>"高等数学Ⅰ"</f>
        <v>高等数学Ⅰ</v>
      </c>
      <c r="H298" s="5" t="str">
        <f>"通识基础课"</f>
        <v>通识基础课</v>
      </c>
      <c r="I298" s="5" t="str">
        <f>"周一第1，2节{第1-17周}，周三第5，6节{第1-17周}，周三第7节{第1-17周}"</f>
        <v>周一第1，2节{第1-17周}，周三第5，6节{第1-17周}，周三第7节{第1-17周}</v>
      </c>
      <c r="J298" s="5" t="str">
        <f>"数学学院"</f>
        <v>数学学院</v>
      </c>
      <c r="K298" s="5" t="str">
        <f>"王韦龙"</f>
        <v>王韦龙</v>
      </c>
    </row>
    <row r="299" ht="156" spans="1:11">
      <c r="A299" s="6">
        <v>297</v>
      </c>
      <c r="B299" s="5" t="str">
        <f>"2230202Z1008"</f>
        <v>2230202Z1008</v>
      </c>
      <c r="C299" s="5" t="str">
        <f>"范训豪"</f>
        <v>范训豪</v>
      </c>
      <c r="D299" s="5" t="str">
        <f>"男"</f>
        <v>男</v>
      </c>
      <c r="E299" s="5" t="str">
        <f>"数理金融学"</f>
        <v>数理金融学</v>
      </c>
      <c r="F299" s="5" t="str">
        <f>"2023"</f>
        <v>2023</v>
      </c>
      <c r="G299" s="5" t="str">
        <f>"数学分析Ⅰ"</f>
        <v>数学分析Ⅰ</v>
      </c>
      <c r="H299" s="5" t="str">
        <f>"通识基础课"</f>
        <v>通识基础课</v>
      </c>
      <c r="I299" s="5" t="str">
        <f>"周一第5，6节{第1-17周}，周一第7节{第1-17周}，周三第7节{第1-17周}，周三第8，9节{第1-17周}"</f>
        <v>周一第5，6节{第1-17周}，周一第7节{第1-17周}，周三第7节{第1-17周}，周三第8，9节{第1-17周}</v>
      </c>
      <c r="J299" s="5" t="str">
        <f>"数学学院"</f>
        <v>数学学院</v>
      </c>
      <c r="K299" s="5" t="str">
        <f>"刘伟"</f>
        <v>刘伟</v>
      </c>
    </row>
    <row r="300" ht="84" spans="1:11">
      <c r="A300" s="6">
        <v>298</v>
      </c>
      <c r="B300" s="5" t="str">
        <f>"2230202Z1005"</f>
        <v>2230202Z1005</v>
      </c>
      <c r="C300" s="5" t="str">
        <f>"刘艳丽"</f>
        <v>刘艳丽</v>
      </c>
      <c r="D300" s="5" t="str">
        <f>"女"</f>
        <v>女</v>
      </c>
      <c r="E300" s="5" t="str">
        <f>"数理金融学"</f>
        <v>数理金融学</v>
      </c>
      <c r="F300" s="5" t="str">
        <f>"2023"</f>
        <v>2023</v>
      </c>
      <c r="G300" s="5" t="str">
        <f>"高等代数Ⅰ"</f>
        <v>高等代数Ⅰ</v>
      </c>
      <c r="H300" s="5" t="str">
        <f>"通识基础课"</f>
        <v>通识基础课</v>
      </c>
      <c r="I300" s="5" t="str">
        <f>"周一第3，4节{第1-17周}，周三第1，2节{第1-17周}"</f>
        <v>周一第3，4节{第1-17周}，周三第1，2节{第1-17周}</v>
      </c>
      <c r="J300" s="5" t="str">
        <f>"数学学院"</f>
        <v>数学学院</v>
      </c>
      <c r="K300" s="5" t="str">
        <f>"韩本三"</f>
        <v>韩本三</v>
      </c>
    </row>
    <row r="301" ht="156" spans="1:11">
      <c r="A301" s="6">
        <v>299</v>
      </c>
      <c r="B301" s="5" t="str">
        <f>"223070100003"</f>
        <v>223070100003</v>
      </c>
      <c r="C301" s="5" t="str">
        <f>"何蕊岑"</f>
        <v>何蕊岑</v>
      </c>
      <c r="D301" s="5" t="str">
        <f>"女"</f>
        <v>女</v>
      </c>
      <c r="E301" s="5" t="str">
        <f>"数学"</f>
        <v>数学</v>
      </c>
      <c r="F301" s="5" t="str">
        <f>"2023"</f>
        <v>2023</v>
      </c>
      <c r="G301" s="5" t="str">
        <f>"数学分析Ⅰ"</f>
        <v>数学分析Ⅰ</v>
      </c>
      <c r="H301" s="5" t="str">
        <f>"通识基础课"</f>
        <v>通识基础课</v>
      </c>
      <c r="I301" s="5" t="str">
        <f>"周二第1，2节{第1-17周}，周二第3节{第1-17周}，周三第5，6节{第1-17周}，周三第7节{第1-17周}"</f>
        <v>周二第1，2节{第1-17周}，周二第3节{第1-17周}，周三第5，6节{第1-17周}，周三第7节{第1-17周}</v>
      </c>
      <c r="J301" s="5" t="str">
        <f>"数学学院"</f>
        <v>数学学院</v>
      </c>
      <c r="K301" s="5" t="str">
        <f>"王永富"</f>
        <v>王永富</v>
      </c>
    </row>
    <row r="302" ht="120" spans="1:11">
      <c r="A302" s="6">
        <v>300</v>
      </c>
      <c r="B302" s="5" t="str">
        <f>"223070100010"</f>
        <v>223070100010</v>
      </c>
      <c r="C302" s="5" t="str">
        <f>"罗巧妮"</f>
        <v>罗巧妮</v>
      </c>
      <c r="D302" s="5" t="str">
        <f>"女"</f>
        <v>女</v>
      </c>
      <c r="E302" s="5" t="str">
        <f>"数学"</f>
        <v>数学</v>
      </c>
      <c r="F302" s="5" t="str">
        <f>"2023"</f>
        <v>2023</v>
      </c>
      <c r="G302" s="5" t="str">
        <f>"高等数学Ⅰ"</f>
        <v>高等数学Ⅰ</v>
      </c>
      <c r="H302" s="5" t="str">
        <f>"通识基础课"</f>
        <v>通识基础课</v>
      </c>
      <c r="I302" s="5" t="str">
        <f>"周一第1，2节{第1-17周}，周三第5，6节{第1-17周}，周三第7节{第1-17周}"</f>
        <v>周一第1，2节{第1-17周}，周三第5，6节{第1-17周}，周三第7节{第1-17周}</v>
      </c>
      <c r="J302" s="5" t="str">
        <f>"数学学院"</f>
        <v>数学学院</v>
      </c>
      <c r="K302" s="5" t="str">
        <f>"李双龙"</f>
        <v>李双龙</v>
      </c>
    </row>
    <row r="303" ht="84" spans="1:11">
      <c r="A303" s="6">
        <v>301</v>
      </c>
      <c r="B303" s="5" t="str">
        <f>"223070100008"</f>
        <v>223070100008</v>
      </c>
      <c r="C303" s="5" t="str">
        <f>"刘杉芾"</f>
        <v>刘杉芾</v>
      </c>
      <c r="D303" s="5" t="str">
        <f>"女"</f>
        <v>女</v>
      </c>
      <c r="E303" s="5" t="str">
        <f>"数学"</f>
        <v>数学</v>
      </c>
      <c r="F303" s="5" t="str">
        <f>"2023"</f>
        <v>2023</v>
      </c>
      <c r="G303" s="5" t="str">
        <f>"高等代数Ⅰ"</f>
        <v>高等代数Ⅰ</v>
      </c>
      <c r="H303" s="5" t="str">
        <f>"通识基础课"</f>
        <v>通识基础课</v>
      </c>
      <c r="I303" s="5" t="str">
        <f>"周一第8，9节{第1-17周}，周三第1，2节{第1-17周}"</f>
        <v>周一第8，9节{第1-17周}，周三第1，2节{第1-17周}</v>
      </c>
      <c r="J303" s="5" t="str">
        <f>"数学学院"</f>
        <v>数学学院</v>
      </c>
      <c r="K303" s="5" t="str">
        <f>"李坤"</f>
        <v>李坤</v>
      </c>
    </row>
    <row r="304" ht="84" spans="1:11">
      <c r="A304" s="6">
        <v>302</v>
      </c>
      <c r="B304" s="5" t="str">
        <f>"2220202Z1017"</f>
        <v>2220202Z1017</v>
      </c>
      <c r="C304" s="5" t="str">
        <f>"蒋汶静"</f>
        <v>蒋汶静</v>
      </c>
      <c r="D304" s="5" t="str">
        <f>"女"</f>
        <v>女</v>
      </c>
      <c r="E304" s="5" t="str">
        <f>"数理金融学"</f>
        <v>数理金融学</v>
      </c>
      <c r="F304" s="5" t="str">
        <f>"2022"</f>
        <v>2022</v>
      </c>
      <c r="G304" s="5" t="str">
        <f>"高等代数Ⅰ"</f>
        <v>高等代数Ⅰ</v>
      </c>
      <c r="H304" s="5" t="str">
        <f>"通识基础课"</f>
        <v>通识基础课</v>
      </c>
      <c r="I304" s="5" t="str">
        <f>"周一第3，4节{第1-17周}，周四第8，9节{第1-17周}"</f>
        <v>周一第3，4节{第1-17周}，周四第8，9节{第1-17周}</v>
      </c>
      <c r="J304" s="5" t="str">
        <f>"数学学院"</f>
        <v>数学学院</v>
      </c>
      <c r="K304" s="5" t="str">
        <f>"樊胜"</f>
        <v>樊胜</v>
      </c>
    </row>
    <row r="305" ht="84" spans="1:11">
      <c r="A305" s="6">
        <v>303</v>
      </c>
      <c r="B305" s="5" t="str">
        <f>"223070100017"</f>
        <v>223070100017</v>
      </c>
      <c r="C305" s="5" t="str">
        <f>"朱鑫"</f>
        <v>朱鑫</v>
      </c>
      <c r="D305" s="5" t="str">
        <f>"男"</f>
        <v>男</v>
      </c>
      <c r="E305" s="5" t="str">
        <f>"数学"</f>
        <v>数学</v>
      </c>
      <c r="F305" s="5" t="str">
        <f>"2023"</f>
        <v>2023</v>
      </c>
      <c r="G305" s="5" t="str">
        <f>"高等代数Ⅰ"</f>
        <v>高等代数Ⅰ</v>
      </c>
      <c r="H305" s="5" t="str">
        <f>"通识基础课"</f>
        <v>通识基础课</v>
      </c>
      <c r="I305" s="5" t="str">
        <f>"周一第3，4节{第1-17周}，周三第8，9节{第1-17周}"</f>
        <v>周一第3，4节{第1-17周}，周三第8，9节{第1-17周}</v>
      </c>
      <c r="J305" s="5" t="str">
        <f>"数学学院"</f>
        <v>数学学院</v>
      </c>
      <c r="K305" s="5" t="str">
        <f>"李坤"</f>
        <v>李坤</v>
      </c>
    </row>
    <row r="306" ht="120" spans="1:11">
      <c r="A306" s="6">
        <v>304</v>
      </c>
      <c r="B306" s="5" t="str">
        <f>"2230202Z1019"</f>
        <v>2230202Z1019</v>
      </c>
      <c r="C306" s="5" t="str">
        <f>"夏汪洋"</f>
        <v>夏汪洋</v>
      </c>
      <c r="D306" s="5" t="str">
        <f>"男"</f>
        <v>男</v>
      </c>
      <c r="E306" s="5" t="str">
        <f>"数理金融学"</f>
        <v>数理金融学</v>
      </c>
      <c r="F306" s="5" t="str">
        <f>"2023"</f>
        <v>2023</v>
      </c>
      <c r="G306" s="5" t="str">
        <f>"高等代数Ⅰ"</f>
        <v>高等代数Ⅰ</v>
      </c>
      <c r="H306" s="5" t="str">
        <f>"通识基础课"</f>
        <v>通识基础课</v>
      </c>
      <c r="I306" s="5" t="str">
        <f>"周一第8，9节{第1-17周}，周三第6节{第1-17周}，周三第7节{第1-17周}"</f>
        <v>周一第8，9节{第1-17周}，周三第6节{第1-17周}，周三第7节{第1-17周}</v>
      </c>
      <c r="J306" s="5" t="str">
        <f>"数学学院"</f>
        <v>数学学院</v>
      </c>
      <c r="K306" s="5" t="str">
        <f>"樊胜"</f>
        <v>樊胜</v>
      </c>
    </row>
    <row r="307" ht="84" spans="1:11">
      <c r="A307" s="6">
        <v>305</v>
      </c>
      <c r="B307" s="5" t="str">
        <f>"223020204131"</f>
        <v>223020204131</v>
      </c>
      <c r="C307" s="5" t="str">
        <f>"姚志钰"</f>
        <v>姚志钰</v>
      </c>
      <c r="D307" s="5" t="str">
        <f>"女"</f>
        <v>女</v>
      </c>
      <c r="E307" s="5" t="str">
        <f>"金融学"</f>
        <v>金融学</v>
      </c>
      <c r="F307" s="5" t="str">
        <f>"2023"</f>
        <v>2023</v>
      </c>
      <c r="G307" s="5" t="str">
        <f>"宏观经济学（英）"</f>
        <v>宏观经济学（英）</v>
      </c>
      <c r="H307" s="5" t="str">
        <f>"大学科基础课"</f>
        <v>大学科基础课</v>
      </c>
      <c r="I307" s="5" t="str">
        <f>"周一第1，2节{第1-17周}，周一第3节{第1-17周}"</f>
        <v>周一第1，2节{第1-17周}，周一第3节{第1-17周}</v>
      </c>
      <c r="J307" s="5" t="str">
        <f>"特拉华数据科学学院"</f>
        <v>特拉华数据科学学院</v>
      </c>
      <c r="K307" s="5" t="str">
        <f>"李雪"</f>
        <v>李雪</v>
      </c>
    </row>
    <row r="308" ht="48" spans="1:11">
      <c r="A308" s="6">
        <v>306</v>
      </c>
      <c r="B308" s="5" t="str">
        <f>"121020204008"</f>
        <v>121020204008</v>
      </c>
      <c r="C308" s="5" t="str">
        <f>"付丽君"</f>
        <v>付丽君</v>
      </c>
      <c r="D308" s="5" t="str">
        <f>"女"</f>
        <v>女</v>
      </c>
      <c r="E308" s="5" t="str">
        <f>"金融学"</f>
        <v>金融学</v>
      </c>
      <c r="F308" s="5" t="str">
        <f>"2021"</f>
        <v>2021</v>
      </c>
      <c r="G308" s="5" t="str">
        <f>"数据可视化"</f>
        <v>数据可视化</v>
      </c>
      <c r="H308" s="5" t="str">
        <f>"专业必修课"</f>
        <v>专业必修课</v>
      </c>
      <c r="I308" s="5" t="str">
        <f>"周二第10，11，12节{第1-17周}"</f>
        <v>周二第10，11，12节{第1-17周}</v>
      </c>
      <c r="J308" s="5" t="str">
        <f>"统计学院"</f>
        <v>统计学院</v>
      </c>
      <c r="K308" s="5" t="str">
        <f>"周凡吟"</f>
        <v>周凡吟</v>
      </c>
    </row>
    <row r="309" ht="48" spans="1:11">
      <c r="A309" s="6">
        <v>307</v>
      </c>
      <c r="B309" s="5" t="str">
        <f>"121020204029"</f>
        <v>121020204029</v>
      </c>
      <c r="C309" s="5" t="str">
        <f>"潘静珍"</f>
        <v>潘静珍</v>
      </c>
      <c r="D309" s="5" t="str">
        <f>"女"</f>
        <v>女</v>
      </c>
      <c r="E309" s="5" t="str">
        <f>"金融学"</f>
        <v>金融学</v>
      </c>
      <c r="F309" s="5" t="str">
        <f>"2021"</f>
        <v>2021</v>
      </c>
      <c r="G309" s="5" t="str">
        <f>"统计学"</f>
        <v>统计学</v>
      </c>
      <c r="H309" s="5" t="str">
        <f>"大学科基础课"</f>
        <v>大学科基础课</v>
      </c>
      <c r="I309" s="5" t="str">
        <f>"周四第10，11，12节{第1-17周}"</f>
        <v>周四第10，11，12节{第1-17周}</v>
      </c>
      <c r="J309" s="5" t="str">
        <f>"统计学院"</f>
        <v>统计学院</v>
      </c>
      <c r="K309" s="5" t="str">
        <f>"李俭富"</f>
        <v>李俭富</v>
      </c>
    </row>
    <row r="310" ht="48" spans="1:11">
      <c r="A310" s="6">
        <v>308</v>
      </c>
      <c r="B310" s="5" t="str">
        <f>"123020208002"</f>
        <v>123020208002</v>
      </c>
      <c r="C310" s="5" t="str">
        <f>"韩煦"</f>
        <v>韩煦</v>
      </c>
      <c r="D310" s="5" t="str">
        <f>"女"</f>
        <v>女</v>
      </c>
      <c r="E310" s="5" t="str">
        <f>"统计学"</f>
        <v>统计学</v>
      </c>
      <c r="F310" s="5" t="str">
        <f>"2023"</f>
        <v>2023</v>
      </c>
      <c r="G310" s="5" t="str">
        <f>"应用时间序列分析"</f>
        <v>应用时间序列分析</v>
      </c>
      <c r="H310" s="5" t="str">
        <f>"专业必修课"</f>
        <v>专业必修课</v>
      </c>
      <c r="I310" s="5" t="str">
        <f>"周三第10，11，12节{第1-17周}"</f>
        <v>周三第10，11，12节{第1-17周}</v>
      </c>
      <c r="J310" s="5" t="str">
        <f>"统计学院"</f>
        <v>统计学院</v>
      </c>
      <c r="K310" s="5" t="str">
        <f>"陈坤"</f>
        <v>陈坤</v>
      </c>
    </row>
    <row r="311" ht="84" spans="1:11">
      <c r="A311" s="6">
        <v>309</v>
      </c>
      <c r="B311" s="5" t="str">
        <f>"123071400001"</f>
        <v>123071400001</v>
      </c>
      <c r="C311" s="5" t="str">
        <f>"陈露"</f>
        <v>陈露</v>
      </c>
      <c r="D311" s="5" t="str">
        <f>"女"</f>
        <v>女</v>
      </c>
      <c r="E311" s="5" t="str">
        <f>"统计学"</f>
        <v>统计学</v>
      </c>
      <c r="F311" s="5" t="str">
        <f>"2023"</f>
        <v>2023</v>
      </c>
      <c r="G311" s="5" t="str">
        <f>"概率论（理科）"</f>
        <v>概率论（理科）</v>
      </c>
      <c r="H311" s="5" t="str">
        <f>"通识基础课"</f>
        <v>通识基础课</v>
      </c>
      <c r="I311" s="5" t="str">
        <f>"周三第1，2节{第1-17周}，周四第8，9节{第1-17周}"</f>
        <v>周三第1，2节{第1-17周}，周四第8，9节{第1-17周}</v>
      </c>
      <c r="J311" s="5" t="str">
        <f>"统计学院"</f>
        <v>统计学院</v>
      </c>
      <c r="K311" s="5" t="str">
        <f>"马昀蓓"</f>
        <v>马昀蓓</v>
      </c>
    </row>
    <row r="312" ht="84" spans="1:11">
      <c r="A312" s="6">
        <v>310</v>
      </c>
      <c r="B312" s="5" t="str">
        <f>"123020208003"</f>
        <v>123020208003</v>
      </c>
      <c r="C312" s="5" t="str">
        <f>"吴林艳"</f>
        <v>吴林艳</v>
      </c>
      <c r="D312" s="5" t="str">
        <f>"女"</f>
        <v>女</v>
      </c>
      <c r="E312" s="5" t="str">
        <f>"统计学"</f>
        <v>统计学</v>
      </c>
      <c r="F312" s="5" t="str">
        <f>"2023"</f>
        <v>2023</v>
      </c>
      <c r="G312" s="5" t="str">
        <f>"抽样调查与应用"</f>
        <v>抽样调查与应用</v>
      </c>
      <c r="H312" s="5" t="str">
        <f>"专业方向课"</f>
        <v>专业方向课</v>
      </c>
      <c r="I312" s="5" t="str">
        <f>"周五第1，2节{第1-17周}，周五第3节{第1-17周}"</f>
        <v>周五第1，2节{第1-17周}，周五第3节{第1-17周}</v>
      </c>
      <c r="J312" s="5" t="str">
        <f>"统计学院"</f>
        <v>统计学院</v>
      </c>
      <c r="K312" s="5" t="str">
        <f>"夏怡凡"</f>
        <v>夏怡凡</v>
      </c>
    </row>
    <row r="313" ht="84" spans="1:11">
      <c r="A313" s="6">
        <v>311</v>
      </c>
      <c r="B313" s="5" t="str">
        <f>"122071400004"</f>
        <v>122071400004</v>
      </c>
      <c r="C313" s="5" t="str">
        <f>"杜悦"</f>
        <v>杜悦</v>
      </c>
      <c r="D313" s="5" t="str">
        <f>"女"</f>
        <v>女</v>
      </c>
      <c r="E313" s="5" t="str">
        <f>"统计学"</f>
        <v>统计学</v>
      </c>
      <c r="F313" s="5" t="str">
        <f>"2022"</f>
        <v>2022</v>
      </c>
      <c r="G313" s="5" t="str">
        <f>"概率论原理"</f>
        <v>概率论原理</v>
      </c>
      <c r="H313" s="5" t="str">
        <f>"大学科基础课"</f>
        <v>大学科基础课</v>
      </c>
      <c r="I313" s="5" t="str">
        <f>"周一第8，9节{第1-17周}，周四第8，9节{第1-17周}"</f>
        <v>周一第8，9节{第1-17周}，周四第8，9节{第1-17周}</v>
      </c>
      <c r="J313" s="5" t="str">
        <f>"统计学院"</f>
        <v>统计学院</v>
      </c>
      <c r="K313" s="5" t="str">
        <f>"何婧"</f>
        <v>何婧</v>
      </c>
    </row>
    <row r="314" ht="84" spans="1:11">
      <c r="A314" s="6">
        <v>312</v>
      </c>
      <c r="B314" s="5" t="str">
        <f>"1230202J8002"</f>
        <v>1230202J8002</v>
      </c>
      <c r="C314" s="5" t="str">
        <f>"张丹宇"</f>
        <v>张丹宇</v>
      </c>
      <c r="D314" s="5" t="str">
        <f>"女"</f>
        <v>女</v>
      </c>
      <c r="E314" s="5" t="str">
        <f>"经济大数据分析"</f>
        <v>经济大数据分析</v>
      </c>
      <c r="F314" s="5" t="str">
        <f>"2023"</f>
        <v>2023</v>
      </c>
      <c r="G314" s="5" t="str">
        <f>"概率论原理"</f>
        <v>概率论原理</v>
      </c>
      <c r="H314" s="5" t="str">
        <f>"大学科基础课"</f>
        <v>大学科基础课</v>
      </c>
      <c r="I314" s="5" t="str">
        <f>"周一第8，9节{第1-17周}，周四第8，9节{第1-17周}"</f>
        <v>周一第8，9节{第1-17周}，周四第8，9节{第1-17周}</v>
      </c>
      <c r="J314" s="5" t="str">
        <f>"统计学院"</f>
        <v>统计学院</v>
      </c>
      <c r="K314" s="5" t="str">
        <f>"何婧"</f>
        <v>何婧</v>
      </c>
    </row>
    <row r="315" ht="84" spans="1:11">
      <c r="A315" s="6">
        <v>313</v>
      </c>
      <c r="B315" s="5" t="str">
        <f>"223020209010"</f>
        <v>223020209010</v>
      </c>
      <c r="C315" s="5" t="str">
        <f>"陈泉林"</f>
        <v>陈泉林</v>
      </c>
      <c r="D315" s="5" t="str">
        <f>"男"</f>
        <v>男</v>
      </c>
      <c r="E315" s="5" t="str">
        <f>"数量经济学"</f>
        <v>数量经济学</v>
      </c>
      <c r="F315" s="5" t="str">
        <f>"2023"</f>
        <v>2023</v>
      </c>
      <c r="G315" s="5" t="str">
        <f>"机器学习与数据挖掘"</f>
        <v>机器学习与数据挖掘</v>
      </c>
      <c r="H315" s="5" t="str">
        <f>"专业必修课"</f>
        <v>专业必修课</v>
      </c>
      <c r="I315" s="5" t="str">
        <f>"周三第1，2节{第1-17周}，周三第3节{第1-17周}"</f>
        <v>周三第1，2节{第1-17周}，周三第3节{第1-17周}</v>
      </c>
      <c r="J315" s="5" t="str">
        <f>"统计学院"</f>
        <v>统计学院</v>
      </c>
      <c r="K315" s="5" t="str">
        <f>"周玮"</f>
        <v>周玮</v>
      </c>
    </row>
    <row r="316" ht="48" spans="1:11">
      <c r="A316" s="6">
        <v>314</v>
      </c>
      <c r="B316" s="5" t="str">
        <f>"223020208006"</f>
        <v>223020208006</v>
      </c>
      <c r="C316" s="5" t="str">
        <f>"石露"</f>
        <v>石露</v>
      </c>
      <c r="D316" s="5" t="str">
        <f>"女"</f>
        <v>女</v>
      </c>
      <c r="E316" s="5" t="str">
        <f>"统计学"</f>
        <v>统计学</v>
      </c>
      <c r="F316" s="5" t="str">
        <f>"2023"</f>
        <v>2023</v>
      </c>
      <c r="G316" s="5" t="str">
        <f>"计量经济学"</f>
        <v>计量经济学</v>
      </c>
      <c r="H316" s="5" t="str">
        <f>"大学科基础课"</f>
        <v>大学科基础课</v>
      </c>
      <c r="I316" s="5" t="str">
        <f>"周一第10，11，12节{第1-17周}"</f>
        <v>周一第10，11，12节{第1-17周}</v>
      </c>
      <c r="J316" s="5" t="str">
        <f>"统计学院"</f>
        <v>统计学院</v>
      </c>
      <c r="K316" s="5" t="str">
        <f>"张华节"</f>
        <v>张华节</v>
      </c>
    </row>
    <row r="317" ht="84" spans="1:11">
      <c r="A317" s="6">
        <v>315</v>
      </c>
      <c r="B317" s="5" t="str">
        <f>"121020204024"</f>
        <v>121020204024</v>
      </c>
      <c r="C317" s="5" t="str">
        <f>"张皓越"</f>
        <v>张皓越</v>
      </c>
      <c r="D317" s="5" t="str">
        <f>"女"</f>
        <v>女</v>
      </c>
      <c r="E317" s="5" t="str">
        <f>"金融学"</f>
        <v>金融学</v>
      </c>
      <c r="F317" s="5" t="str">
        <f>"2021"</f>
        <v>2021</v>
      </c>
      <c r="G317" s="5" t="str">
        <f>"计量经济学"</f>
        <v>计量经济学</v>
      </c>
      <c r="H317" s="5" t="str">
        <f>"大学科基础课"</f>
        <v>大学科基础课</v>
      </c>
      <c r="I317" s="5" t="str">
        <f>"周一第5，6节{第1-17周}，周一第7节{第1-17周}"</f>
        <v>周一第5，6节{第1-17周}，周一第7节{第1-17周}</v>
      </c>
      <c r="J317" s="5" t="str">
        <f>"统计学院"</f>
        <v>统计学院</v>
      </c>
      <c r="K317" s="5" t="str">
        <f>"耿华彦"</f>
        <v>耿华彦</v>
      </c>
    </row>
    <row r="318" ht="84" spans="1:11">
      <c r="A318" s="6">
        <v>316</v>
      </c>
      <c r="B318" s="5" t="str">
        <f>"222120201030"</f>
        <v>222120201030</v>
      </c>
      <c r="C318" s="5" t="str">
        <f>"张源桓"</f>
        <v>张源桓</v>
      </c>
      <c r="D318" s="5" t="str">
        <f>"女"</f>
        <v>女</v>
      </c>
      <c r="E318" s="5" t="str">
        <f>"会计学"</f>
        <v>会计学</v>
      </c>
      <c r="F318" s="5" t="str">
        <f>"2022"</f>
        <v>2022</v>
      </c>
      <c r="G318" s="5" t="str">
        <f>"计量经济学"</f>
        <v>计量经济学</v>
      </c>
      <c r="H318" s="5" t="str">
        <f>"专业方向课"</f>
        <v>专业方向课</v>
      </c>
      <c r="I318" s="5" t="str">
        <f>"周一第5，6节{第1-17周}，周一第7节{第1-17周}"</f>
        <v>周一第5，6节{第1-17周}，周一第7节{第1-17周}</v>
      </c>
      <c r="J318" s="5" t="str">
        <f>"统计学院"</f>
        <v>统计学院</v>
      </c>
      <c r="K318" s="5" t="str">
        <f>"笪亨果"</f>
        <v>笪亨果</v>
      </c>
    </row>
    <row r="319" ht="84" spans="1:11">
      <c r="A319" s="6">
        <v>317</v>
      </c>
      <c r="B319" s="5" t="str">
        <f>"123120100006"</f>
        <v>123120100006</v>
      </c>
      <c r="C319" s="5" t="str">
        <f>"张露月"</f>
        <v>张露月</v>
      </c>
      <c r="D319" s="5" t="str">
        <f>"女"</f>
        <v>女</v>
      </c>
      <c r="E319" s="5" t="str">
        <f>"管理科学与工程"</f>
        <v>管理科学与工程</v>
      </c>
      <c r="F319" s="5" t="str">
        <f>"2023"</f>
        <v>2023</v>
      </c>
      <c r="G319" s="5" t="str">
        <f>"计量经济学"</f>
        <v>计量经济学</v>
      </c>
      <c r="H319" s="5" t="str">
        <f>"大学科基础课"</f>
        <v>大学科基础课</v>
      </c>
      <c r="I319" s="5" t="str">
        <f>"周三第1，2节{第1-17周}，周三第3节{第1-17周}"</f>
        <v>周三第1，2节{第1-17周}，周三第3节{第1-17周}</v>
      </c>
      <c r="J319" s="5" t="str">
        <f>"统计学院"</f>
        <v>统计学院</v>
      </c>
      <c r="K319" s="5" t="str">
        <f>"亢晶浩"</f>
        <v>亢晶浩</v>
      </c>
    </row>
    <row r="320" ht="48" spans="1:11">
      <c r="A320" s="6">
        <v>318</v>
      </c>
      <c r="B320" s="5" t="str">
        <f>"223020208007"</f>
        <v>223020208007</v>
      </c>
      <c r="C320" s="5" t="str">
        <f>"程风"</f>
        <v>程风</v>
      </c>
      <c r="D320" s="5" t="str">
        <f>"男"</f>
        <v>男</v>
      </c>
      <c r="E320" s="5" t="str">
        <f>"统计学"</f>
        <v>统计学</v>
      </c>
      <c r="F320" s="5" t="str">
        <f>"2023"</f>
        <v>2023</v>
      </c>
      <c r="G320" s="5" t="str">
        <f>"机器学习与数据挖掘"</f>
        <v>机器学习与数据挖掘</v>
      </c>
      <c r="H320" s="5" t="str">
        <f>"专业方向课"</f>
        <v>专业方向课</v>
      </c>
      <c r="I320" s="5" t="str">
        <f>"周四第10，11，12节{第1-17周}"</f>
        <v>周四第10，11，12节{第1-17周}</v>
      </c>
      <c r="J320" s="5" t="str">
        <f>"统计学院"</f>
        <v>统计学院</v>
      </c>
      <c r="K320" s="5" t="str">
        <f>"邓蔚"</f>
        <v>邓蔚</v>
      </c>
    </row>
    <row r="321" ht="48" spans="1:11">
      <c r="A321" s="6">
        <v>319</v>
      </c>
      <c r="B321" s="5" t="str">
        <f>"122071400005"</f>
        <v>122071400005</v>
      </c>
      <c r="C321" s="5" t="str">
        <f>"朱一凡"</f>
        <v>朱一凡</v>
      </c>
      <c r="D321" s="5" t="str">
        <f>"男"</f>
        <v>男</v>
      </c>
      <c r="E321" s="5" t="str">
        <f>"统计学"</f>
        <v>统计学</v>
      </c>
      <c r="F321" s="5" t="str">
        <f>"2022"</f>
        <v>2022</v>
      </c>
      <c r="G321" s="5" t="str">
        <f>"统计与数据科学导论"</f>
        <v>统计与数据科学导论</v>
      </c>
      <c r="H321" s="5" t="str">
        <f>"大类平台课"</f>
        <v>大类平台课</v>
      </c>
      <c r="I321" s="5" t="str">
        <f>"周二第10，11，12节{第6-17周}"</f>
        <v>周二第10，11，12节{第6-17周}</v>
      </c>
      <c r="J321" s="5" t="str">
        <f>"统计学院"</f>
        <v>统计学院</v>
      </c>
      <c r="K321" s="5" t="str">
        <f>"凌星"</f>
        <v>凌星</v>
      </c>
    </row>
    <row r="322" ht="84" spans="1:11">
      <c r="A322" s="6">
        <v>320</v>
      </c>
      <c r="B322" s="5" t="str">
        <f>"123071400006"</f>
        <v>123071400006</v>
      </c>
      <c r="C322" s="5" t="str">
        <f>"龚梓阳"</f>
        <v>龚梓阳</v>
      </c>
      <c r="D322" s="5" t="str">
        <f>"男"</f>
        <v>男</v>
      </c>
      <c r="E322" s="5" t="str">
        <f>"统计学"</f>
        <v>统计学</v>
      </c>
      <c r="F322" s="5" t="str">
        <f>"2023"</f>
        <v>2023</v>
      </c>
      <c r="G322" s="5" t="str">
        <f>"优化方法"</f>
        <v>优化方法</v>
      </c>
      <c r="H322" s="5" t="str">
        <f>"大学科基础课"</f>
        <v>大学科基础课</v>
      </c>
      <c r="I322" s="5" t="str">
        <f>"周一第5，6节{第1-17周}，周一第7节{第1-17周}"</f>
        <v>周一第5，6节{第1-17周}，周一第7节{第1-17周}</v>
      </c>
      <c r="J322" s="5" t="str">
        <f>"统计学院"</f>
        <v>统计学院</v>
      </c>
      <c r="K322" s="5" t="str">
        <f>"阎瑶"</f>
        <v>阎瑶</v>
      </c>
    </row>
    <row r="323" ht="84" spans="1:11">
      <c r="A323" s="6">
        <v>321</v>
      </c>
      <c r="B323" s="5" t="str">
        <f>"223020209016"</f>
        <v>223020209016</v>
      </c>
      <c r="C323" s="5" t="str">
        <f>"查美霞"</f>
        <v>查美霞</v>
      </c>
      <c r="D323" s="5" t="str">
        <f>"女"</f>
        <v>女</v>
      </c>
      <c r="E323" s="5" t="str">
        <f>"数量经济学"</f>
        <v>数量经济学</v>
      </c>
      <c r="F323" s="5" t="str">
        <f>"2023"</f>
        <v>2023</v>
      </c>
      <c r="G323" s="5" t="str">
        <f>"计量经济学"</f>
        <v>计量经济学</v>
      </c>
      <c r="H323" s="5" t="str">
        <f>"专业必修课"</f>
        <v>专业必修课</v>
      </c>
      <c r="I323" s="5" t="str">
        <f>"周三第1，2节{第1-17周}，周三第3节{第1-17周}"</f>
        <v>周三第1，2节{第1-17周}，周三第3节{第1-17周}</v>
      </c>
      <c r="J323" s="5" t="str">
        <f>"统计学院"</f>
        <v>统计学院</v>
      </c>
      <c r="K323" s="5" t="str">
        <f>"范国斌"</f>
        <v>范国斌</v>
      </c>
    </row>
    <row r="324" ht="48" spans="1:11">
      <c r="A324" s="6">
        <v>322</v>
      </c>
      <c r="B324" s="5" t="str">
        <f>"1220202J8002"</f>
        <v>1220202J8002</v>
      </c>
      <c r="C324" s="5" t="str">
        <f>"徐琳"</f>
        <v>徐琳</v>
      </c>
      <c r="D324" s="5" t="str">
        <f>"女"</f>
        <v>女</v>
      </c>
      <c r="E324" s="5" t="str">
        <f>"经济大数据分析"</f>
        <v>经济大数据分析</v>
      </c>
      <c r="F324" s="5" t="str">
        <f>"2022"</f>
        <v>2022</v>
      </c>
      <c r="G324" s="5" t="str">
        <f>"机器学习与数据挖掘"</f>
        <v>机器学习与数据挖掘</v>
      </c>
      <c r="H324" s="5" t="str">
        <f>"专业必修课"</f>
        <v>专业必修课</v>
      </c>
      <c r="I324" s="5" t="str">
        <f>"周三第10，11，12节{第1-17周}"</f>
        <v>周三第10，11，12节{第1-17周}</v>
      </c>
      <c r="J324" s="5" t="str">
        <f>"统计学院"</f>
        <v>统计学院</v>
      </c>
      <c r="K324" s="5" t="str">
        <f>"梁巧"</f>
        <v>梁巧</v>
      </c>
    </row>
    <row r="325" ht="48" spans="1:11">
      <c r="A325" s="6">
        <v>323</v>
      </c>
      <c r="B325" s="5" t="str">
        <f>"120020104008"</f>
        <v>120020104008</v>
      </c>
      <c r="C325" s="5" t="str">
        <f>"梁书源"</f>
        <v>梁书源</v>
      </c>
      <c r="D325" s="5" t="str">
        <f>"男"</f>
        <v>男</v>
      </c>
      <c r="E325" s="5" t="str">
        <f>"西方经济学"</f>
        <v>西方经济学</v>
      </c>
      <c r="F325" s="5" t="str">
        <f>"2020"</f>
        <v>2020</v>
      </c>
      <c r="G325" s="5" t="str">
        <f>"计量经济学"</f>
        <v>计量经济学</v>
      </c>
      <c r="H325" s="5" t="str">
        <f>"大学科基础课"</f>
        <v>大学科基础课</v>
      </c>
      <c r="I325" s="5" t="str">
        <f>"周二第10，11，12节{第1-17周}"</f>
        <v>周二第10，11，12节{第1-17周}</v>
      </c>
      <c r="J325" s="5" t="str">
        <f>"统计学院"</f>
        <v>统计学院</v>
      </c>
      <c r="K325" s="5" t="str">
        <f>"孙秀丽"</f>
        <v>孙秀丽</v>
      </c>
    </row>
    <row r="326" ht="24" spans="1:11">
      <c r="A326" s="6">
        <v>324</v>
      </c>
      <c r="B326" s="5" t="str">
        <f>"123120100004"</f>
        <v>123120100004</v>
      </c>
      <c r="C326" s="5" t="str">
        <f>"叶蓓蓓"</f>
        <v>叶蓓蓓</v>
      </c>
      <c r="D326" s="5" t="str">
        <f>"女"</f>
        <v>女</v>
      </c>
      <c r="E326" s="5" t="str">
        <f>"管理科学与工程"</f>
        <v>管理科学与工程</v>
      </c>
      <c r="F326" s="5" t="str">
        <f>"2023"</f>
        <v>2023</v>
      </c>
      <c r="G326" s="5" t="str">
        <f>"统计学MOOC"</f>
        <v>统计学MOOC</v>
      </c>
      <c r="H326" s="5" t="str">
        <f>"慕课"</f>
        <v>慕课</v>
      </c>
      <c r="I326" s="5" t="str">
        <f>"2024年9-12月"</f>
        <v>2024年9-12月</v>
      </c>
      <c r="J326" s="5" t="str">
        <f>"统计学院"</f>
        <v>统计学院</v>
      </c>
      <c r="K326" s="5" t="str">
        <f>"夏怡凡"</f>
        <v>夏怡凡</v>
      </c>
    </row>
    <row r="327" ht="84" spans="1:11">
      <c r="A327" s="6">
        <v>325</v>
      </c>
      <c r="B327" s="5" t="str">
        <f>"123020209002"</f>
        <v>123020209002</v>
      </c>
      <c r="C327" s="5" t="str">
        <f>"王佳"</f>
        <v>王佳</v>
      </c>
      <c r="D327" s="5" t="str">
        <f>"女"</f>
        <v>女</v>
      </c>
      <c r="E327" s="5" t="str">
        <f>"数量经济学"</f>
        <v>数量经济学</v>
      </c>
      <c r="F327" s="5" t="str">
        <f>"2023"</f>
        <v>2023</v>
      </c>
      <c r="G327" s="5" t="str">
        <f>"计量经济学"</f>
        <v>计量经济学</v>
      </c>
      <c r="H327" s="5" t="str">
        <f>"专业必修课"</f>
        <v>专业必修课</v>
      </c>
      <c r="I327" s="5" t="str">
        <f>"周一第5，6节{第1-17周}，周一第7节{第1-17周}"</f>
        <v>周一第5，6节{第1-17周}，周一第7节{第1-17周}</v>
      </c>
      <c r="J327" s="5" t="str">
        <f>"统计学院"</f>
        <v>统计学院</v>
      </c>
      <c r="K327" s="5" t="str">
        <f>"喻开志"</f>
        <v>喻开志</v>
      </c>
    </row>
    <row r="328" ht="48" spans="1:11">
      <c r="A328" s="6">
        <v>326</v>
      </c>
      <c r="B328" s="5" t="str">
        <f>"2230202J8004"</f>
        <v>2230202J8004</v>
      </c>
      <c r="C328" s="5" t="str">
        <f>"林浩男"</f>
        <v>林浩男</v>
      </c>
      <c r="D328" s="5" t="str">
        <f>"男"</f>
        <v>男</v>
      </c>
      <c r="E328" s="5" t="str">
        <f>"经济大数据分析"</f>
        <v>经济大数据分析</v>
      </c>
      <c r="F328" s="5" t="str">
        <f>"2023"</f>
        <v>2023</v>
      </c>
      <c r="G328" s="5" t="str">
        <f>"机器学习与数据挖掘"</f>
        <v>机器学习与数据挖掘</v>
      </c>
      <c r="H328" s="5" t="str">
        <f>"专业必修课"</f>
        <v>专业必修课</v>
      </c>
      <c r="I328" s="5" t="str">
        <f>"周四第10，11，12节{第1-17周}"</f>
        <v>周四第10，11，12节{第1-17周}</v>
      </c>
      <c r="J328" s="5" t="str">
        <f>"统计学院"</f>
        <v>统计学院</v>
      </c>
      <c r="K328" s="5" t="str">
        <f>"梁巧"</f>
        <v>梁巧</v>
      </c>
    </row>
    <row r="329" ht="48" spans="1:11">
      <c r="A329" s="6">
        <v>327</v>
      </c>
      <c r="B329" s="5" t="str">
        <f>"121020208006"</f>
        <v>121020208006</v>
      </c>
      <c r="C329" s="5" t="str">
        <f>"刘国军"</f>
        <v>刘国军</v>
      </c>
      <c r="D329" s="5" t="str">
        <f>"男"</f>
        <v>男</v>
      </c>
      <c r="E329" s="5" t="str">
        <f>"统计学"</f>
        <v>统计学</v>
      </c>
      <c r="F329" s="5" t="str">
        <f>"2021"</f>
        <v>2021</v>
      </c>
      <c r="G329" s="5" t="str">
        <f>"综合实验"</f>
        <v>综合实验</v>
      </c>
      <c r="H329" s="5" t="str">
        <f>"实践环节课"</f>
        <v>实践环节课</v>
      </c>
      <c r="I329" s="5" t="str">
        <f>"周一第1，2节{第1-17周}"</f>
        <v>周一第1，2节{第1-17周}</v>
      </c>
      <c r="J329" s="5" t="str">
        <f>"统计学院"</f>
        <v>统计学院</v>
      </c>
      <c r="K329" s="5" t="str">
        <f>"刘田"</f>
        <v>刘田</v>
      </c>
    </row>
    <row r="330" ht="48" spans="1:11">
      <c r="A330" s="6">
        <v>328</v>
      </c>
      <c r="B330" s="5" t="str">
        <f>"221020209023"</f>
        <v>221020209023</v>
      </c>
      <c r="C330" s="5" t="str">
        <f>"王样样"</f>
        <v>王样样</v>
      </c>
      <c r="D330" s="5" t="str">
        <f>"女"</f>
        <v>女</v>
      </c>
      <c r="E330" s="5" t="str">
        <f>"数量经济学"</f>
        <v>数量经济学</v>
      </c>
      <c r="F330" s="5" t="str">
        <f>"2021"</f>
        <v>2021</v>
      </c>
      <c r="G330" s="5" t="str">
        <f>"计量经济学"</f>
        <v>计量经济学</v>
      </c>
      <c r="H330" s="5" t="str">
        <f>"专业方向课"</f>
        <v>专业方向课</v>
      </c>
      <c r="I330" s="5" t="str">
        <f>"周三第10，11，12节{第1-17周}"</f>
        <v>周三第10，11，12节{第1-17周}</v>
      </c>
      <c r="J330" s="5" t="str">
        <f>"统计学院"</f>
        <v>统计学院</v>
      </c>
      <c r="K330" s="5" t="str">
        <f>"杨岚"</f>
        <v>杨岚</v>
      </c>
    </row>
    <row r="331" ht="84" spans="1:11">
      <c r="A331" s="6">
        <v>329</v>
      </c>
      <c r="B331" s="5" t="str">
        <f>"122020202003"</f>
        <v>122020202003</v>
      </c>
      <c r="C331" s="5" t="str">
        <f>"王问苈"</f>
        <v>王问苈</v>
      </c>
      <c r="D331" s="5" t="str">
        <f>"男"</f>
        <v>男</v>
      </c>
      <c r="E331" s="5" t="str">
        <f>"区域经济学"</f>
        <v>区域经济学</v>
      </c>
      <c r="F331" s="5" t="str">
        <f>"2022"</f>
        <v>2022</v>
      </c>
      <c r="G331" s="5" t="str">
        <f>"计量经济学"</f>
        <v>计量经济学</v>
      </c>
      <c r="H331" s="5" t="str">
        <f>"大学科基础课"</f>
        <v>大学科基础课</v>
      </c>
      <c r="I331" s="5" t="str">
        <f>"周三第1，2节{第1-17周}，周三第3节{第1-17周}"</f>
        <v>周三第1，2节{第1-17周}，周三第3节{第1-17周}</v>
      </c>
      <c r="J331" s="5" t="str">
        <f>"统计学院"</f>
        <v>统计学院</v>
      </c>
      <c r="K331" s="5" t="str">
        <f>"杨岚"</f>
        <v>杨岚</v>
      </c>
    </row>
    <row r="332" ht="48" spans="1:11">
      <c r="A332" s="6">
        <v>330</v>
      </c>
      <c r="B332" s="5" t="str">
        <f>"122020209002"</f>
        <v>122020209002</v>
      </c>
      <c r="C332" s="5" t="str">
        <f>"司国庆"</f>
        <v>司国庆</v>
      </c>
      <c r="D332" s="5" t="str">
        <f>"男"</f>
        <v>男</v>
      </c>
      <c r="E332" s="5" t="str">
        <f>"数量经济学"</f>
        <v>数量经济学</v>
      </c>
      <c r="F332" s="5" t="str">
        <f>"2022"</f>
        <v>2022</v>
      </c>
      <c r="G332" s="5" t="str">
        <f>"计量经济学"</f>
        <v>计量经济学</v>
      </c>
      <c r="H332" s="5" t="str">
        <f>"专业必修课"</f>
        <v>专业必修课</v>
      </c>
      <c r="I332" s="5" t="str">
        <f>"周一第10，11，12节{第1-17周}"</f>
        <v>周一第10，11，12节{第1-17周}</v>
      </c>
      <c r="J332" s="5" t="str">
        <f>"统计学院"</f>
        <v>统计学院</v>
      </c>
      <c r="K332" s="5" t="str">
        <f>"喻开志"</f>
        <v>喻开志</v>
      </c>
    </row>
    <row r="333" ht="84" spans="1:11">
      <c r="A333" s="6">
        <v>331</v>
      </c>
      <c r="B333" s="5" t="str">
        <f>"222071400017"</f>
        <v>222071400017</v>
      </c>
      <c r="C333" s="5" t="str">
        <f>"王凌锐"</f>
        <v>王凌锐</v>
      </c>
      <c r="D333" s="5" t="str">
        <f>"男"</f>
        <v>男</v>
      </c>
      <c r="E333" s="5" t="str">
        <f>"统计学"</f>
        <v>统计学</v>
      </c>
      <c r="F333" s="5" t="str">
        <f>"2022"</f>
        <v>2022</v>
      </c>
      <c r="G333" s="5" t="str">
        <f>"贝叶斯统计"</f>
        <v>贝叶斯统计</v>
      </c>
      <c r="H333" s="5" t="str">
        <f>"专业方向课"</f>
        <v>专业方向课</v>
      </c>
      <c r="I333" s="5" t="str">
        <f>"周三第5，6节{第1-17周}，周三第7节{第1-17周}"</f>
        <v>周三第5，6节{第1-17周}，周三第7节{第1-17周}</v>
      </c>
      <c r="J333" s="5" t="str">
        <f>"统计学院"</f>
        <v>统计学院</v>
      </c>
      <c r="K333" s="5" t="str">
        <f>"张佳"</f>
        <v>张佳</v>
      </c>
    </row>
    <row r="334" ht="84" spans="1:11">
      <c r="A334" s="6">
        <v>332</v>
      </c>
      <c r="B334" s="5" t="str">
        <f>"222020208009"</f>
        <v>222020208009</v>
      </c>
      <c r="C334" s="5" t="str">
        <f>"宁人洁"</f>
        <v>宁人洁</v>
      </c>
      <c r="D334" s="5" t="str">
        <f>"女"</f>
        <v>女</v>
      </c>
      <c r="E334" s="5" t="str">
        <f>"统计学"</f>
        <v>统计学</v>
      </c>
      <c r="F334" s="5" t="str">
        <f>"2022"</f>
        <v>2022</v>
      </c>
      <c r="G334" s="5" t="str">
        <f>"抽样调查与应用"</f>
        <v>抽样调查与应用</v>
      </c>
      <c r="H334" s="5" t="str">
        <f>"专业必修课"</f>
        <v>专业必修课</v>
      </c>
      <c r="I334" s="5" t="str">
        <f>"周四第5，6节{第1-17周}，周四第7节{第1-17周}"</f>
        <v>周四第5，6节{第1-17周}，周四第7节{第1-17周}</v>
      </c>
      <c r="J334" s="5" t="str">
        <f>"统计学院"</f>
        <v>统计学院</v>
      </c>
      <c r="K334" s="5" t="str">
        <f>"夏怡凡"</f>
        <v>夏怡凡</v>
      </c>
    </row>
    <row r="335" ht="48" spans="1:11">
      <c r="A335" s="6">
        <v>333</v>
      </c>
      <c r="B335" s="5" t="str">
        <f>"2220202Z2006"</f>
        <v>2220202Z2006</v>
      </c>
      <c r="C335" s="5" t="str">
        <f>"王志昊"</f>
        <v>王志昊</v>
      </c>
      <c r="D335" s="5" t="str">
        <f>"男"</f>
        <v>男</v>
      </c>
      <c r="E335" s="5" t="str">
        <f>"金融工程"</f>
        <v>金融工程</v>
      </c>
      <c r="F335" s="5" t="str">
        <f>"2022"</f>
        <v>2022</v>
      </c>
      <c r="G335" s="5" t="str">
        <f>"数据可视化"</f>
        <v>数据可视化</v>
      </c>
      <c r="H335" s="5" t="str">
        <f>"专业必修课"</f>
        <v>专业必修课</v>
      </c>
      <c r="I335" s="5" t="str">
        <f>"周三第10，11，12节{第1-17周}"</f>
        <v>周三第10，11，12节{第1-17周}</v>
      </c>
      <c r="J335" s="5" t="str">
        <f>"统计学院"</f>
        <v>统计学院</v>
      </c>
      <c r="K335" s="5" t="str">
        <f>"李蔓"</f>
        <v>李蔓</v>
      </c>
    </row>
    <row r="336" ht="84" spans="1:11">
      <c r="A336" s="6">
        <v>334</v>
      </c>
      <c r="B336" s="5" t="str">
        <f>"122071400003"</f>
        <v>122071400003</v>
      </c>
      <c r="C336" s="5" t="str">
        <f>"申博延"</f>
        <v>申博延</v>
      </c>
      <c r="D336" s="5" t="str">
        <f>"男"</f>
        <v>男</v>
      </c>
      <c r="E336" s="5" t="str">
        <f>"统计学"</f>
        <v>统计学</v>
      </c>
      <c r="F336" s="5" t="str">
        <f>"2022"</f>
        <v>2022</v>
      </c>
      <c r="G336" s="5" t="str">
        <f>"多元统计分析"</f>
        <v>多元统计分析</v>
      </c>
      <c r="H336" s="5" t="str">
        <f>"专业必修课"</f>
        <v>专业必修课</v>
      </c>
      <c r="I336" s="5" t="str">
        <f>"周三第1，2节{第1-17周}，周三第3节{第1-17周}"</f>
        <v>周三第1，2节{第1-17周}，周三第3节{第1-17周}</v>
      </c>
      <c r="J336" s="5" t="str">
        <f>"统计学院"</f>
        <v>统计学院</v>
      </c>
      <c r="K336" s="5" t="str">
        <f>"戴琳琳"</f>
        <v>戴琳琳</v>
      </c>
    </row>
    <row r="337" ht="84" spans="1:11">
      <c r="A337" s="6">
        <v>335</v>
      </c>
      <c r="B337" s="5" t="str">
        <f>"222120201015"</f>
        <v>222120201015</v>
      </c>
      <c r="C337" s="5" t="str">
        <f>"陆溢"</f>
        <v>陆溢</v>
      </c>
      <c r="D337" s="5" t="str">
        <f>"女"</f>
        <v>女</v>
      </c>
      <c r="E337" s="5" t="str">
        <f>"会计学"</f>
        <v>会计学</v>
      </c>
      <c r="F337" s="5" t="str">
        <f>"2022"</f>
        <v>2022</v>
      </c>
      <c r="G337" s="5" t="str">
        <f>"计量经济学"</f>
        <v>计量经济学</v>
      </c>
      <c r="H337" s="5" t="str">
        <f>"专业方向课"</f>
        <v>专业方向课</v>
      </c>
      <c r="I337" s="5" t="str">
        <f>"周二第1，2节{第1-17周}，周二第3节{第1-17周}"</f>
        <v>周二第1，2节{第1-17周}，周二第3节{第1-17周}</v>
      </c>
      <c r="J337" s="5" t="str">
        <f>"统计学院"</f>
        <v>统计学院</v>
      </c>
      <c r="K337" s="5" t="str">
        <f>"笪亨果"</f>
        <v>笪亨果</v>
      </c>
    </row>
    <row r="338" ht="48" spans="1:11">
      <c r="A338" s="6">
        <v>336</v>
      </c>
      <c r="B338" s="5" t="str">
        <f>"121071400005"</f>
        <v>121071400005</v>
      </c>
      <c r="C338" s="5" t="str">
        <f>"王宣程"</f>
        <v>王宣程</v>
      </c>
      <c r="D338" s="5" t="str">
        <f>"男"</f>
        <v>男</v>
      </c>
      <c r="E338" s="5" t="str">
        <f>"统计学"</f>
        <v>统计学</v>
      </c>
      <c r="F338" s="5" t="str">
        <f>"2021"</f>
        <v>2021</v>
      </c>
      <c r="G338" s="5" t="str">
        <f>"分类数据分析"</f>
        <v>分类数据分析</v>
      </c>
      <c r="H338" s="5" t="str">
        <f>"专业方向课"</f>
        <v>专业方向课</v>
      </c>
      <c r="I338" s="5" t="str">
        <f>"周一第10，11，12节{第1-17周}"</f>
        <v>周一第10，11，12节{第1-17周}</v>
      </c>
      <c r="J338" s="5" t="str">
        <f>"统计学院"</f>
        <v>统计学院</v>
      </c>
      <c r="K338" s="5" t="str">
        <f>"吴量"</f>
        <v>吴量</v>
      </c>
    </row>
    <row r="339" ht="84" spans="1:11">
      <c r="A339" s="6">
        <v>337</v>
      </c>
      <c r="B339" s="5" t="str">
        <f>"122020208005"</f>
        <v>122020208005</v>
      </c>
      <c r="C339" s="5" t="str">
        <f>"任建梅"</f>
        <v>任建梅</v>
      </c>
      <c r="D339" s="5" t="str">
        <f>"女"</f>
        <v>女</v>
      </c>
      <c r="E339" s="5" t="str">
        <f>"统计学"</f>
        <v>统计学</v>
      </c>
      <c r="F339" s="5" t="str">
        <f>"2022"</f>
        <v>2022</v>
      </c>
      <c r="G339" s="5" t="str">
        <f>"数理统计（理）"</f>
        <v>数理统计（理）</v>
      </c>
      <c r="H339" s="5" t="str">
        <f>"大学科基础课"</f>
        <v>大学科基础课</v>
      </c>
      <c r="I339" s="5" t="str">
        <f>"周一第5，6节{第1-17周}，周一第7节{第1-17周}"</f>
        <v>周一第5，6节{第1-17周}，周一第7节{第1-17周}</v>
      </c>
      <c r="J339" s="5" t="str">
        <f>"统计学院"</f>
        <v>统计学院</v>
      </c>
      <c r="K339" s="5" t="str">
        <f>"马铁丰"</f>
        <v>马铁丰</v>
      </c>
    </row>
    <row r="340" ht="48" spans="1:11">
      <c r="A340" s="6">
        <v>338</v>
      </c>
      <c r="B340" s="5" t="str">
        <f>"119120204001"</f>
        <v>119120204001</v>
      </c>
      <c r="C340" s="5" t="str">
        <f>"庞冬梅"</f>
        <v>庞冬梅</v>
      </c>
      <c r="D340" s="5" t="str">
        <f>"女"</f>
        <v>女</v>
      </c>
      <c r="E340" s="5" t="str">
        <f>"技术经济及管理"</f>
        <v>技术经济及管理</v>
      </c>
      <c r="F340" s="5" t="str">
        <f>"2019"</f>
        <v>2019</v>
      </c>
      <c r="G340" s="5" t="str">
        <f>"计量经济学"</f>
        <v>计量经济学</v>
      </c>
      <c r="H340" s="5" t="str">
        <f>"专业方向课"</f>
        <v>专业方向课</v>
      </c>
      <c r="I340" s="5" t="str">
        <f>"周一第10，11，12节{第1-17周}"</f>
        <v>周一第10，11，12节{第1-17周}</v>
      </c>
      <c r="J340" s="5" t="str">
        <f>"统计学院"</f>
        <v>统计学院</v>
      </c>
      <c r="K340" s="5" t="str">
        <f>"陈娟"</f>
        <v>陈娟</v>
      </c>
    </row>
    <row r="341" ht="84" spans="1:11">
      <c r="A341" s="6">
        <v>339</v>
      </c>
      <c r="B341" s="5" t="str">
        <f>"123020106002"</f>
        <v>123020106002</v>
      </c>
      <c r="C341" s="5" t="str">
        <f>"王昭雯"</f>
        <v>王昭雯</v>
      </c>
      <c r="D341" s="5" t="str">
        <f>"女"</f>
        <v>女</v>
      </c>
      <c r="E341" s="5" t="str">
        <f>"人口、资源与环境经济学"</f>
        <v>人口、资源与环境经济学</v>
      </c>
      <c r="F341" s="5" t="str">
        <f>"2023"</f>
        <v>2023</v>
      </c>
      <c r="G341" s="5" t="str">
        <f>"计量经济学"</f>
        <v>计量经济学</v>
      </c>
      <c r="H341" s="5" t="str">
        <f>"大学科基础课"</f>
        <v>大学科基础课</v>
      </c>
      <c r="I341" s="5" t="str">
        <f>"周三第1，2节{第1-17周}，周三第3节{第1-17周}"</f>
        <v>周三第1，2节{第1-17周}，周三第3节{第1-17周}</v>
      </c>
      <c r="J341" s="5" t="str">
        <f>"统计学院"</f>
        <v>统计学院</v>
      </c>
      <c r="K341" s="5" t="str">
        <f>"陈娟"</f>
        <v>陈娟</v>
      </c>
    </row>
    <row r="342" ht="48" spans="1:11">
      <c r="A342" s="6">
        <v>340</v>
      </c>
      <c r="B342" s="5" t="str">
        <f>"121071400004"</f>
        <v>121071400004</v>
      </c>
      <c r="C342" s="5" t="str">
        <f>"聂锦宇"</f>
        <v>聂锦宇</v>
      </c>
      <c r="D342" s="5" t="str">
        <f>"男"</f>
        <v>男</v>
      </c>
      <c r="E342" s="5" t="str">
        <f>"统计学"</f>
        <v>统计学</v>
      </c>
      <c r="F342" s="5" t="str">
        <f>"2021"</f>
        <v>2021</v>
      </c>
      <c r="G342" s="5" t="str">
        <f>"优化方法"</f>
        <v>优化方法</v>
      </c>
      <c r="H342" s="5" t="str">
        <f>"大学科基础课"</f>
        <v>大学科基础课</v>
      </c>
      <c r="I342" s="5" t="str">
        <f>"周四第10，11，12节{第1-17周}"</f>
        <v>周四第10，11，12节{第1-17周}</v>
      </c>
      <c r="J342" s="5" t="str">
        <f>"统计学院"</f>
        <v>统计学院</v>
      </c>
      <c r="K342" s="5" t="str">
        <f>"阎瑶"</f>
        <v>阎瑶</v>
      </c>
    </row>
    <row r="343" ht="48" spans="1:11">
      <c r="A343" s="6">
        <v>341</v>
      </c>
      <c r="B343" s="5" t="str">
        <f>"2230202J8007"</f>
        <v>2230202J8007</v>
      </c>
      <c r="C343" s="5" t="str">
        <f>"马靖凯"</f>
        <v>马靖凯</v>
      </c>
      <c r="D343" s="5" t="str">
        <f>"男"</f>
        <v>男</v>
      </c>
      <c r="E343" s="5" t="str">
        <f>"经济大数据分析"</f>
        <v>经济大数据分析</v>
      </c>
      <c r="F343" s="5" t="str">
        <f>"2023"</f>
        <v>2023</v>
      </c>
      <c r="G343" s="5" t="str">
        <f>"机器学习与数据挖掘"</f>
        <v>机器学习与数据挖掘</v>
      </c>
      <c r="H343" s="5" t="str">
        <f>"专业必修课"</f>
        <v>专业必修课</v>
      </c>
      <c r="I343" s="5" t="str">
        <f>"周四第10，11，12节{第1-17周}"</f>
        <v>周四第10，11，12节{第1-17周}</v>
      </c>
      <c r="J343" s="5" t="str">
        <f>"统计学院"</f>
        <v>统计学院</v>
      </c>
      <c r="K343" s="5" t="str">
        <f>"成青"</f>
        <v>成青</v>
      </c>
    </row>
    <row r="344" ht="84" spans="1:11">
      <c r="A344" s="6">
        <v>342</v>
      </c>
      <c r="B344" s="5" t="str">
        <f>"123020208006"</f>
        <v>123020208006</v>
      </c>
      <c r="C344" s="5" t="str">
        <f>"刘雯"</f>
        <v>刘雯</v>
      </c>
      <c r="D344" s="5" t="str">
        <f>"女"</f>
        <v>女</v>
      </c>
      <c r="E344" s="5" t="str">
        <f>"统计学"</f>
        <v>统计学</v>
      </c>
      <c r="F344" s="5" t="str">
        <f>"2023"</f>
        <v>2023</v>
      </c>
      <c r="G344" s="5" t="str">
        <f>"概率论（理科）"</f>
        <v>概率论（理科）</v>
      </c>
      <c r="H344" s="5" t="str">
        <f>"通识基础课"</f>
        <v>通识基础课</v>
      </c>
      <c r="I344" s="5" t="str">
        <f>"周三第8，9节{第1-17周}，周四第10，11节{第1-17周}"</f>
        <v>周三第8，9节{第1-17周}，周四第10，11节{第1-17周}</v>
      </c>
      <c r="J344" s="5" t="str">
        <f>"统计学院"</f>
        <v>统计学院</v>
      </c>
      <c r="K344" s="5" t="str">
        <f>"马昀蓓"</f>
        <v>马昀蓓</v>
      </c>
    </row>
    <row r="345" ht="48" spans="1:11">
      <c r="A345" s="6">
        <v>343</v>
      </c>
      <c r="B345" s="5" t="str">
        <f>"1200202J8002"</f>
        <v>1200202J8002</v>
      </c>
      <c r="C345" s="5" t="str">
        <f>"邝文宇"</f>
        <v>邝文宇</v>
      </c>
      <c r="D345" s="5" t="str">
        <f>"男"</f>
        <v>男</v>
      </c>
      <c r="E345" s="5" t="str">
        <f>"经济大数据分析"</f>
        <v>经济大数据分析</v>
      </c>
      <c r="F345" s="5" t="str">
        <f>"2020"</f>
        <v>2020</v>
      </c>
      <c r="G345" s="5" t="str">
        <f>"回归分析"</f>
        <v>回归分析</v>
      </c>
      <c r="H345" s="5" t="str">
        <f>"专业必修课"</f>
        <v>专业必修课</v>
      </c>
      <c r="I345" s="5" t="str">
        <f>"周二第10，11，12节{第1-17周}"</f>
        <v>周二第10，11，12节{第1-17周}</v>
      </c>
      <c r="J345" s="5" t="str">
        <f>"统计学院"</f>
        <v>统计学院</v>
      </c>
      <c r="K345" s="5" t="str">
        <f>"兰伟"</f>
        <v>兰伟</v>
      </c>
    </row>
    <row r="346" ht="48" spans="1:11">
      <c r="A346" s="6">
        <v>344</v>
      </c>
      <c r="B346" s="5" t="str">
        <f>"123071400007"</f>
        <v>123071400007</v>
      </c>
      <c r="C346" s="5" t="str">
        <f>"王星"</f>
        <v>王星</v>
      </c>
      <c r="D346" s="5" t="str">
        <f>"男"</f>
        <v>男</v>
      </c>
      <c r="E346" s="5" t="str">
        <f>"统计学"</f>
        <v>统计学</v>
      </c>
      <c r="F346" s="5" t="str">
        <f>"2023"</f>
        <v>2023</v>
      </c>
      <c r="G346" s="5" t="str">
        <f>"数据可视化"</f>
        <v>数据可视化</v>
      </c>
      <c r="H346" s="5" t="str">
        <f>"专业必修课"</f>
        <v>专业必修课</v>
      </c>
      <c r="I346" s="5" t="str">
        <f>"周三第10，11，12节{第1-17周}"</f>
        <v>周三第10，11，12节{第1-17周}</v>
      </c>
      <c r="J346" s="5" t="str">
        <f>"统计学院"</f>
        <v>统计学院</v>
      </c>
      <c r="K346" s="5" t="str">
        <f>"李蔓"</f>
        <v>李蔓</v>
      </c>
    </row>
    <row r="347" ht="84" spans="1:11">
      <c r="A347" s="6">
        <v>345</v>
      </c>
      <c r="B347" s="5" t="str">
        <f>"2220202Z2007"</f>
        <v>2220202Z2007</v>
      </c>
      <c r="C347" s="5" t="str">
        <f>"叶徐涛"</f>
        <v>叶徐涛</v>
      </c>
      <c r="D347" s="5" t="str">
        <f>"男"</f>
        <v>男</v>
      </c>
      <c r="E347" s="5" t="str">
        <f>"金融工程"</f>
        <v>金融工程</v>
      </c>
      <c r="F347" s="5" t="str">
        <f>"2022"</f>
        <v>2022</v>
      </c>
      <c r="G347" s="5" t="str">
        <f>"计量经济学"</f>
        <v>计量经济学</v>
      </c>
      <c r="H347" s="5" t="str">
        <f>"大学科基础课"</f>
        <v>大学科基础课</v>
      </c>
      <c r="I347" s="5" t="str">
        <f>"周二第1，2节{第1-17周}，周二第3节{第1-17周}"</f>
        <v>周二第1，2节{第1-17周}，周二第3节{第1-17周}</v>
      </c>
      <c r="J347" s="5" t="str">
        <f>"统计学院"</f>
        <v>统计学院</v>
      </c>
      <c r="K347" s="5" t="str">
        <f>"于博"</f>
        <v>于博</v>
      </c>
    </row>
    <row r="348" ht="84" spans="1:11">
      <c r="A348" s="6">
        <v>346</v>
      </c>
      <c r="B348" s="5" t="str">
        <f>"222071400016"</f>
        <v>222071400016</v>
      </c>
      <c r="C348" s="5" t="str">
        <f>"张其瑞"</f>
        <v>张其瑞</v>
      </c>
      <c r="D348" s="5" t="str">
        <f>"男"</f>
        <v>男</v>
      </c>
      <c r="E348" s="5" t="str">
        <f>"统计学"</f>
        <v>统计学</v>
      </c>
      <c r="F348" s="5" t="str">
        <f>"2022"</f>
        <v>2022</v>
      </c>
      <c r="G348" s="5" t="str">
        <f>"统计学"</f>
        <v>统计学</v>
      </c>
      <c r="H348" s="5" t="str">
        <f>"大学科基础课"</f>
        <v>大学科基础课</v>
      </c>
      <c r="I348" s="5" t="str">
        <f>"周四第5，6节{第1-17周}，周四第7节{第1-17周}"</f>
        <v>周四第5，6节{第1-17周}，周四第7节{第1-17周}</v>
      </c>
      <c r="J348" s="5" t="str">
        <f>"统计学院"</f>
        <v>统计学院</v>
      </c>
      <c r="K348" s="5" t="str">
        <f>"陈丹丹"</f>
        <v>陈丹丹</v>
      </c>
    </row>
    <row r="349" ht="84" spans="1:11">
      <c r="A349" s="6">
        <v>347</v>
      </c>
      <c r="B349" s="5" t="str">
        <f>"2220202J8010"</f>
        <v>2220202J8010</v>
      </c>
      <c r="C349" s="5" t="str">
        <f>"杨丹丹"</f>
        <v>杨丹丹</v>
      </c>
      <c r="D349" s="5" t="str">
        <f>"女"</f>
        <v>女</v>
      </c>
      <c r="E349" s="5" t="str">
        <f>"经济大数据分析"</f>
        <v>经济大数据分析</v>
      </c>
      <c r="F349" s="5" t="str">
        <f>"2022"</f>
        <v>2022</v>
      </c>
      <c r="G349" s="5" t="str">
        <f>"计量经济学"</f>
        <v>计量经济学</v>
      </c>
      <c r="H349" s="5" t="str">
        <f>"专业方向课"</f>
        <v>专业方向课</v>
      </c>
      <c r="I349" s="5" t="str">
        <f>"周一第1，2节{第1-17周}，周一第3节{第1-17周}"</f>
        <v>周一第1，2节{第1-17周}，周一第3节{第1-17周}</v>
      </c>
      <c r="J349" s="5" t="str">
        <f>"统计学院"</f>
        <v>统计学院</v>
      </c>
      <c r="K349" s="5" t="str">
        <f>"笪亨果"</f>
        <v>笪亨果</v>
      </c>
    </row>
    <row r="350" ht="48" spans="1:11">
      <c r="A350" s="6">
        <v>348</v>
      </c>
      <c r="B350" s="5" t="str">
        <f>"122020204009"</f>
        <v>122020204009</v>
      </c>
      <c r="C350" s="5" t="str">
        <f>"李钰琪"</f>
        <v>李钰琪</v>
      </c>
      <c r="D350" s="5" t="str">
        <f>"女"</f>
        <v>女</v>
      </c>
      <c r="E350" s="5" t="str">
        <f>"金融学"</f>
        <v>金融学</v>
      </c>
      <c r="F350" s="5" t="str">
        <f>"2022"</f>
        <v>2022</v>
      </c>
      <c r="G350" s="5" t="str">
        <f>"计量经济学"</f>
        <v>计量经济学</v>
      </c>
      <c r="H350" s="5" t="str">
        <f>"专业方向课"</f>
        <v>专业方向课</v>
      </c>
      <c r="I350" s="5" t="str">
        <f>"周二第10，11，12节{第1-17周}"</f>
        <v>周二第10，11，12节{第1-17周}</v>
      </c>
      <c r="J350" s="5" t="str">
        <f>"统计学院"</f>
        <v>统计学院</v>
      </c>
      <c r="K350" s="5" t="str">
        <f>"于博"</f>
        <v>于博</v>
      </c>
    </row>
    <row r="351" ht="84" spans="1:11">
      <c r="A351" s="6">
        <v>349</v>
      </c>
      <c r="B351" s="5" t="str">
        <f>"1220202J6001"</f>
        <v>1220202J6001</v>
      </c>
      <c r="C351" s="5" t="str">
        <f>"刘星"</f>
        <v>刘星</v>
      </c>
      <c r="D351" s="5" t="str">
        <f>"男"</f>
        <v>男</v>
      </c>
      <c r="E351" s="5" t="str">
        <f>"行为金融学"</f>
        <v>行为金融学</v>
      </c>
      <c r="F351" s="5" t="str">
        <f>"2022"</f>
        <v>2022</v>
      </c>
      <c r="G351" s="5" t="str">
        <f>"计量经济学"</f>
        <v>计量经济学</v>
      </c>
      <c r="H351" s="5" t="str">
        <f>"专业必修课"</f>
        <v>专业必修课</v>
      </c>
      <c r="I351" s="5" t="str">
        <f>"周三第1，2节{第1-17周}，周三第3节{第1-17周}"</f>
        <v>周三第1，2节{第1-17周}，周三第3节{第1-17周}</v>
      </c>
      <c r="J351" s="5" t="str">
        <f>"统计学院"</f>
        <v>统计学院</v>
      </c>
      <c r="K351" s="5" t="str">
        <f>"范国斌"</f>
        <v>范国斌</v>
      </c>
    </row>
    <row r="352" ht="84" spans="1:11">
      <c r="A352" s="6">
        <v>350</v>
      </c>
      <c r="B352" s="5" t="str">
        <f>"123020209003"</f>
        <v>123020209003</v>
      </c>
      <c r="C352" s="5" t="str">
        <f>"张萌"</f>
        <v>张萌</v>
      </c>
      <c r="D352" s="5" t="str">
        <f>"女"</f>
        <v>女</v>
      </c>
      <c r="E352" s="5" t="str">
        <f>"数量经济学"</f>
        <v>数量经济学</v>
      </c>
      <c r="F352" s="5" t="str">
        <f>"2023"</f>
        <v>2023</v>
      </c>
      <c r="G352" s="5" t="str">
        <f>"计量经济学"</f>
        <v>计量经济学</v>
      </c>
      <c r="H352" s="5" t="str">
        <f>"专业方向课"</f>
        <v>专业方向课</v>
      </c>
      <c r="I352" s="5" t="str">
        <f>"周二第1，2节{第1-17周}，周二第3节{第1-17周}"</f>
        <v>周二第1，2节{第1-17周}，周二第3节{第1-17周}</v>
      </c>
      <c r="J352" s="5" t="str">
        <f>"统计学院"</f>
        <v>统计学院</v>
      </c>
      <c r="K352" s="5" t="str">
        <f>"鲁万波"</f>
        <v>鲁万波</v>
      </c>
    </row>
    <row r="353" ht="84" spans="1:11">
      <c r="A353" s="6">
        <v>351</v>
      </c>
      <c r="B353" s="5" t="str">
        <f>"223020208010"</f>
        <v>223020208010</v>
      </c>
      <c r="C353" s="5" t="str">
        <f>"赵越"</f>
        <v>赵越</v>
      </c>
      <c r="D353" s="5" t="str">
        <f>"女"</f>
        <v>女</v>
      </c>
      <c r="E353" s="5" t="str">
        <f>"统计学"</f>
        <v>统计学</v>
      </c>
      <c r="F353" s="5" t="str">
        <f>"2023"</f>
        <v>2023</v>
      </c>
      <c r="G353" s="5" t="str">
        <f>"统计与数据科学导论"</f>
        <v>统计与数据科学导论</v>
      </c>
      <c r="H353" s="5" t="str">
        <f>"大类平台课"</f>
        <v>大类平台课</v>
      </c>
      <c r="I353" s="5" t="str">
        <f>"周五第5，6节{第6-17周}，周五第7节{第6-17周}"</f>
        <v>周五第5，6节{第6-17周}，周五第7节{第6-17周}</v>
      </c>
      <c r="J353" s="5" t="str">
        <f>"统计学院"</f>
        <v>统计学院</v>
      </c>
      <c r="K353" s="5" t="str">
        <f>"刘斌"</f>
        <v>刘斌</v>
      </c>
    </row>
    <row r="354" ht="84" spans="1:11">
      <c r="A354" s="6">
        <v>352</v>
      </c>
      <c r="B354" s="5" t="str">
        <f>"122020203007"</f>
        <v>122020203007</v>
      </c>
      <c r="C354" s="5" t="str">
        <f>"曾宇"</f>
        <v>曾宇</v>
      </c>
      <c r="D354" s="5" t="str">
        <f>"女"</f>
        <v>女</v>
      </c>
      <c r="E354" s="5" t="str">
        <f>"财政学"</f>
        <v>财政学</v>
      </c>
      <c r="F354" s="5" t="str">
        <f>"2022"</f>
        <v>2022</v>
      </c>
      <c r="G354" s="5" t="str">
        <f>"请选择"</f>
        <v>请选择</v>
      </c>
      <c r="H354" s="5" t="str">
        <f>"大学科基础课"</f>
        <v>大学科基础课</v>
      </c>
      <c r="I354" s="5" t="str">
        <f>"周一第5，6节{第1-17周}，周一第7节{第1-17周}"</f>
        <v>周一第5，6节{第1-17周}，周一第7节{第1-17周}</v>
      </c>
      <c r="J354" s="5" t="str">
        <f>"统计学院"</f>
        <v>统计学院</v>
      </c>
      <c r="K354" s="5" t="str">
        <f>"耿华彦"</f>
        <v>耿华彦</v>
      </c>
    </row>
    <row r="355" ht="48" spans="1:11">
      <c r="A355" s="6">
        <v>353</v>
      </c>
      <c r="B355" s="5" t="str">
        <f>"223071400022"</f>
        <v>223071400022</v>
      </c>
      <c r="C355" s="5" t="str">
        <f>"刘芯伶"</f>
        <v>刘芯伶</v>
      </c>
      <c r="D355" s="5" t="str">
        <f>"女"</f>
        <v>女</v>
      </c>
      <c r="E355" s="5" t="str">
        <f>"统计学"</f>
        <v>统计学</v>
      </c>
      <c r="F355" s="5" t="str">
        <f>"2023"</f>
        <v>2023</v>
      </c>
      <c r="G355" s="5" t="str">
        <f>"综合实验"</f>
        <v>综合实验</v>
      </c>
      <c r="H355" s="5" t="str">
        <f>"实践环节课"</f>
        <v>实践环节课</v>
      </c>
      <c r="I355" s="5" t="str">
        <f>"周一第3，4节{第1-17周}"</f>
        <v>周一第3，4节{第1-17周}</v>
      </c>
      <c r="J355" s="5" t="str">
        <f>"统计学院"</f>
        <v>统计学院</v>
      </c>
      <c r="K355" s="5" t="str">
        <f>"吴骞"</f>
        <v>吴骞</v>
      </c>
    </row>
    <row r="356" ht="84" spans="1:11">
      <c r="A356" s="6">
        <v>354</v>
      </c>
      <c r="B356" s="5" t="str">
        <f>"223020209015"</f>
        <v>223020209015</v>
      </c>
      <c r="C356" s="5" t="str">
        <f>"白欣宜"</f>
        <v>白欣宜</v>
      </c>
      <c r="D356" s="5" t="str">
        <f>"女"</f>
        <v>女</v>
      </c>
      <c r="E356" s="5" t="str">
        <f>"数量经济学"</f>
        <v>数量经济学</v>
      </c>
      <c r="F356" s="5" t="str">
        <f>"2023"</f>
        <v>2023</v>
      </c>
      <c r="G356" s="5" t="str">
        <f>"计量经济学"</f>
        <v>计量经济学</v>
      </c>
      <c r="H356" s="5" t="str">
        <f>"大学科基础课"</f>
        <v>大学科基础课</v>
      </c>
      <c r="I356" s="5" t="str">
        <f>"周三第1，2节{第1-17周}，周三第3节{第1-17周}"</f>
        <v>周三第1，2节{第1-17周}，周三第3节{第1-17周}</v>
      </c>
      <c r="J356" s="5" t="str">
        <f>"统计学院"</f>
        <v>统计学院</v>
      </c>
      <c r="K356" s="5" t="str">
        <f>"刘田"</f>
        <v>刘田</v>
      </c>
    </row>
    <row r="357" ht="48" spans="1:11">
      <c r="A357" s="6">
        <v>355</v>
      </c>
      <c r="B357" s="5" t="str">
        <f>"223020209003"</f>
        <v>223020209003</v>
      </c>
      <c r="C357" s="5" t="str">
        <f>"张燕琴"</f>
        <v>张燕琴</v>
      </c>
      <c r="D357" s="5" t="str">
        <f>"女"</f>
        <v>女</v>
      </c>
      <c r="E357" s="5" t="str">
        <f>"数量经济学"</f>
        <v>数量经济学</v>
      </c>
      <c r="F357" s="5" t="str">
        <f>"2023"</f>
        <v>2023</v>
      </c>
      <c r="G357" s="5" t="str">
        <f>"综合实验"</f>
        <v>综合实验</v>
      </c>
      <c r="H357" s="5" t="str">
        <f>"实践环节课"</f>
        <v>实践环节课</v>
      </c>
      <c r="I357" s="5" t="str">
        <f>"周一第3，4节{第1-17周}"</f>
        <v>周一第3，4节{第1-17周}</v>
      </c>
      <c r="J357" s="5" t="str">
        <f>"统计学院"</f>
        <v>统计学院</v>
      </c>
      <c r="K357" s="5" t="str">
        <f>"刘田"</f>
        <v>刘田</v>
      </c>
    </row>
    <row r="358" ht="24" spans="1:11">
      <c r="A358" s="6">
        <v>356</v>
      </c>
      <c r="B358" s="5" t="str">
        <f>"223020209013"</f>
        <v>223020209013</v>
      </c>
      <c r="C358" s="5" t="str">
        <f>"王丽瑛"</f>
        <v>王丽瑛</v>
      </c>
      <c r="D358" s="5" t="str">
        <f>"女"</f>
        <v>女</v>
      </c>
      <c r="E358" s="5" t="str">
        <f>"数量经济学"</f>
        <v>数量经济学</v>
      </c>
      <c r="F358" s="5" t="str">
        <f>"2023"</f>
        <v>2023</v>
      </c>
      <c r="G358" s="5" t="str">
        <f>"计量经济学MOOC"</f>
        <v>计量经济学MOOC</v>
      </c>
      <c r="H358" s="5" t="str">
        <f>"慕课"</f>
        <v>慕课</v>
      </c>
      <c r="I358" s="5" t="str">
        <f>"2024年9-12月"</f>
        <v>2024年9-12月</v>
      </c>
      <c r="J358" s="5" t="str">
        <f>"统计学院"</f>
        <v>统计学院</v>
      </c>
      <c r="K358" s="5" t="str">
        <f>"范国斌"</f>
        <v>范国斌</v>
      </c>
    </row>
    <row r="359" ht="84" spans="1:11">
      <c r="A359" s="6">
        <v>357</v>
      </c>
      <c r="B359" s="5" t="str">
        <f>"123020204024"</f>
        <v>123020204024</v>
      </c>
      <c r="C359" s="5" t="str">
        <f>"王雅敏"</f>
        <v>王雅敏</v>
      </c>
      <c r="D359" s="5" t="str">
        <f>"女"</f>
        <v>女</v>
      </c>
      <c r="E359" s="5" t="str">
        <f>"金融学"</f>
        <v>金融学</v>
      </c>
      <c r="F359" s="5" t="str">
        <f>"2023"</f>
        <v>2023</v>
      </c>
      <c r="G359" s="5" t="str">
        <f>"机器学习与数据挖掘"</f>
        <v>机器学习与数据挖掘</v>
      </c>
      <c r="H359" s="5" t="str">
        <f>"专业必修课"</f>
        <v>专业必修课</v>
      </c>
      <c r="I359" s="5" t="str">
        <f>"周三第1，2节{第1-17周}，周三第3节{第1-17周}"</f>
        <v>周三第1，2节{第1-17周}，周三第3节{第1-17周}</v>
      </c>
      <c r="J359" s="5" t="str">
        <f>"统计学院"</f>
        <v>统计学院</v>
      </c>
      <c r="K359" s="5" t="str">
        <f>"张佳"</f>
        <v>张佳</v>
      </c>
    </row>
    <row r="360" ht="84" spans="1:11">
      <c r="A360" s="6">
        <v>358</v>
      </c>
      <c r="B360" s="5" t="str">
        <f>"122071400006"</f>
        <v>122071400006</v>
      </c>
      <c r="C360" s="5" t="str">
        <f>"江自豪"</f>
        <v>江自豪</v>
      </c>
      <c r="D360" s="5" t="str">
        <f>"男"</f>
        <v>男</v>
      </c>
      <c r="E360" s="5" t="str">
        <f>"统计学"</f>
        <v>统计学</v>
      </c>
      <c r="F360" s="5" t="str">
        <f>"2022"</f>
        <v>2022</v>
      </c>
      <c r="G360" s="5" t="str">
        <f>"分类数据分析"</f>
        <v>分类数据分析</v>
      </c>
      <c r="H360" s="5" t="str">
        <f>"专业方向课"</f>
        <v>专业方向课</v>
      </c>
      <c r="I360" s="5" t="str">
        <f>"周一第5，6节{第1-17周}，周一第7节{第1-17周}"</f>
        <v>周一第5，6节{第1-17周}，周一第7节{第1-17周}</v>
      </c>
      <c r="J360" s="5" t="str">
        <f>"统计学院"</f>
        <v>统计学院</v>
      </c>
      <c r="K360" s="5" t="str">
        <f>"吴量"</f>
        <v>吴量</v>
      </c>
    </row>
    <row r="361" ht="84" spans="1:11">
      <c r="A361" s="6">
        <v>359</v>
      </c>
      <c r="B361" s="5" t="str">
        <f>"121020208005"</f>
        <v>121020208005</v>
      </c>
      <c r="C361" s="5" t="str">
        <f>"熊智临"</f>
        <v>熊智临</v>
      </c>
      <c r="D361" s="5" t="str">
        <f>"女"</f>
        <v>女</v>
      </c>
      <c r="E361" s="5" t="str">
        <f>"统计学"</f>
        <v>统计学</v>
      </c>
      <c r="F361" s="5" t="str">
        <f>"2021"</f>
        <v>2021</v>
      </c>
      <c r="G361" s="5" t="str">
        <f>"数理统计（理）"</f>
        <v>数理统计（理）</v>
      </c>
      <c r="H361" s="5" t="str">
        <f>"大学科基础课"</f>
        <v>大学科基础课</v>
      </c>
      <c r="I361" s="5" t="str">
        <f>"周一第5，6节{第1-17周}，周一第7节{第1-17周}"</f>
        <v>周一第5，6节{第1-17周}，周一第7节{第1-17周}</v>
      </c>
      <c r="J361" s="5" t="str">
        <f>"统计学院"</f>
        <v>统计学院</v>
      </c>
      <c r="K361" s="5" t="str">
        <f>"马铁丰"</f>
        <v>马铁丰</v>
      </c>
    </row>
    <row r="362" ht="84" spans="1:11">
      <c r="A362" s="6">
        <v>360</v>
      </c>
      <c r="B362" s="5" t="str">
        <f>"120020209006"</f>
        <v>120020209006</v>
      </c>
      <c r="C362" s="5" t="str">
        <f>"刘奇波"</f>
        <v>刘奇波</v>
      </c>
      <c r="D362" s="5" t="str">
        <f>"男"</f>
        <v>男</v>
      </c>
      <c r="E362" s="5" t="str">
        <f>"数量经济学"</f>
        <v>数量经济学</v>
      </c>
      <c r="F362" s="5" t="str">
        <f>"2020"</f>
        <v>2020</v>
      </c>
      <c r="G362" s="5" t="str">
        <f>"统计学"</f>
        <v>统计学</v>
      </c>
      <c r="H362" s="5" t="str">
        <f>"大学科基础课"</f>
        <v>大学科基础课</v>
      </c>
      <c r="I362" s="5" t="str">
        <f>"周三第1，2节{第1-17周}，周三第3节{第1-17周}"</f>
        <v>周三第1，2节{第1-17周}，周三第3节{第1-17周}</v>
      </c>
      <c r="J362" s="5" t="str">
        <f>"统计学院"</f>
        <v>统计学院</v>
      </c>
      <c r="K362" s="5" t="str">
        <f>"何雅兴"</f>
        <v>何雅兴</v>
      </c>
    </row>
    <row r="363" ht="84" spans="1:11">
      <c r="A363" s="6">
        <v>361</v>
      </c>
      <c r="B363" s="5" t="str">
        <f>"223020205009"</f>
        <v>223020205009</v>
      </c>
      <c r="C363" s="5" t="str">
        <f>"郑庆梅"</f>
        <v>郑庆梅</v>
      </c>
      <c r="D363" s="5" t="str">
        <f>"女"</f>
        <v>女</v>
      </c>
      <c r="E363" s="5" t="str">
        <f>"产业经济学"</f>
        <v>产业经济学</v>
      </c>
      <c r="F363" s="5" t="str">
        <f>"2023"</f>
        <v>2023</v>
      </c>
      <c r="G363" s="5" t="str">
        <f>"计量经济学"</f>
        <v>计量经济学</v>
      </c>
      <c r="H363" s="5" t="str">
        <f>"专业必修课"</f>
        <v>专业必修课</v>
      </c>
      <c r="I363" s="5" t="str">
        <f>"周二第1，2节{第1-17周}，周二第3节{第1-17周}"</f>
        <v>周二第1，2节{第1-17周}，周二第3节{第1-17周}</v>
      </c>
      <c r="J363" s="5" t="str">
        <f>"统计学院"</f>
        <v>统计学院</v>
      </c>
      <c r="K363" s="5" t="str">
        <f>"张卫东"</f>
        <v>张卫东</v>
      </c>
    </row>
    <row r="364" ht="84" spans="1:11">
      <c r="A364" s="6">
        <v>362</v>
      </c>
      <c r="B364" s="5" t="str">
        <f>"222020208002"</f>
        <v>222020208002</v>
      </c>
      <c r="C364" s="5" t="str">
        <f>"陈凯伦"</f>
        <v>陈凯伦</v>
      </c>
      <c r="D364" s="5" t="str">
        <f>"男"</f>
        <v>男</v>
      </c>
      <c r="E364" s="5" t="str">
        <f>"统计学"</f>
        <v>统计学</v>
      </c>
      <c r="F364" s="5" t="str">
        <f>"2022"</f>
        <v>2022</v>
      </c>
      <c r="G364" s="5" t="str">
        <f>"贝叶斯统计"</f>
        <v>贝叶斯统计</v>
      </c>
      <c r="H364" s="5" t="str">
        <f>"专业方向课"</f>
        <v>专业方向课</v>
      </c>
      <c r="I364" s="5" t="str">
        <f>"周三第5，6节{第1-17周}，周三第7节{第1-17周}"</f>
        <v>周三第5，6节{第1-17周}，周三第7节{第1-17周}</v>
      </c>
      <c r="J364" s="5" t="str">
        <f>"统计学院"</f>
        <v>统计学院</v>
      </c>
      <c r="K364" s="5" t="str">
        <f>"张佳"</f>
        <v>张佳</v>
      </c>
    </row>
    <row r="365" ht="36" spans="1:11">
      <c r="A365" s="6">
        <v>363</v>
      </c>
      <c r="B365" s="5" t="str">
        <f>"2230502Z1007"</f>
        <v>2230502Z1007</v>
      </c>
      <c r="C365" s="5" t="str">
        <f>"文惠"</f>
        <v>文惠</v>
      </c>
      <c r="D365" s="5" t="str">
        <f>"女"</f>
        <v>女</v>
      </c>
      <c r="E365" s="5" t="str">
        <f>"商务英语研究"</f>
        <v>商务英语研究</v>
      </c>
      <c r="F365" s="5" t="str">
        <f>"2023"</f>
        <v>2023</v>
      </c>
      <c r="G365" s="5" t="str">
        <f>"商务英语-案例篇MOOC"</f>
        <v>商务英语-案例篇MOOC</v>
      </c>
      <c r="H365" s="5" t="str">
        <f>"慕课"</f>
        <v>慕课</v>
      </c>
      <c r="I365" s="5" t="str">
        <f>"2024年9-12月"</f>
        <v>2024年9-12月</v>
      </c>
      <c r="J365" s="5" t="str">
        <f>"外国语学院"</f>
        <v>外国语学院</v>
      </c>
      <c r="K365" s="5" t="str">
        <f>"谢娟"</f>
        <v>谢娟</v>
      </c>
    </row>
    <row r="366" ht="72" spans="1:11">
      <c r="A366" s="6">
        <v>364</v>
      </c>
      <c r="B366" s="5" t="str">
        <f>"222020106003"</f>
        <v>222020106003</v>
      </c>
      <c r="C366" s="5" t="str">
        <f>"李海天"</f>
        <v>李海天</v>
      </c>
      <c r="D366" s="5" t="str">
        <f>"女"</f>
        <v>女</v>
      </c>
      <c r="E366" s="5" t="str">
        <f>"人口、资源与环境经济学"</f>
        <v>人口、资源与环境经济学</v>
      </c>
      <c r="F366" s="5" t="str">
        <f>"2022"</f>
        <v>2022</v>
      </c>
      <c r="G366" s="5" t="str">
        <f>"走向商涯：商科学生职业生涯规划与指导MOOC"</f>
        <v>走向商涯：商科学生职业生涯规划与指导MOOC</v>
      </c>
      <c r="H366" s="5" t="str">
        <f>"慕课"</f>
        <v>慕课</v>
      </c>
      <c r="I366" s="5" t="str">
        <f>"2024年9-12月"</f>
        <v>2024年9-12月</v>
      </c>
      <c r="J366" s="5" t="str">
        <f>"学生职业规划与就业指导中心"</f>
        <v>学生职业规划与就业指导中心</v>
      </c>
      <c r="K366" s="5" t="str">
        <f>"邹涛"</f>
        <v>邹涛</v>
      </c>
    </row>
    <row r="367" ht="72" spans="1:11">
      <c r="A367" s="6">
        <v>365</v>
      </c>
      <c r="B367" s="5" t="str">
        <f>"122120202002"</f>
        <v>122120202002</v>
      </c>
      <c r="C367" s="5" t="str">
        <f>"彭华玉婷"</f>
        <v>彭华玉婷</v>
      </c>
      <c r="D367" s="5" t="str">
        <f>"女"</f>
        <v>女</v>
      </c>
      <c r="E367" s="5" t="str">
        <f>"企业管理"</f>
        <v>企业管理</v>
      </c>
      <c r="F367" s="5" t="str">
        <f>"2022"</f>
        <v>2022</v>
      </c>
      <c r="G367" s="5" t="str">
        <f>"走向商涯：商科学生职业生涯规划与指导MOOC"</f>
        <v>走向商涯：商科学生职业生涯规划与指导MOOC</v>
      </c>
      <c r="H367" s="5" t="str">
        <f>"慕课"</f>
        <v>慕课</v>
      </c>
      <c r="I367" s="5" t="str">
        <f>"2024年9-12月"</f>
        <v>2024年9-12月</v>
      </c>
      <c r="J367" s="5" t="str">
        <f>"学生职业规划与就业指导中心"</f>
        <v>学生职业规划与就业指导中心</v>
      </c>
      <c r="K367" s="5" t="str">
        <f>"邹涛"</f>
        <v>邹涛</v>
      </c>
    </row>
  </sheetData>
  <autoFilter ref="A2:K367">
    <sortState ref="A3:K367">
      <sortCondition ref="J2"/>
    </sortState>
    <extLst/>
  </autoFilter>
  <mergeCells count="1">
    <mergeCell ref="A1:K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myexcel (6)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2024-07-24T03:22:08Z</dcterms:created>
  <dcterms:modified xsi:type="dcterms:W3CDTF">2024-07-24T03:31:16Z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2BE590AE9102496494B803C8496304D4_13</vt:lpwstr>
  </property>
</Properties>
</file>