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560" activeTab="0"/>
  </bookViews>
  <sheets>
    <sheet name="myexcel 1 " sheetId="1" r:id="rId1"/>
  </sheets>
  <definedNames>
    <definedName name="_xlnm._FilterDatabase" localSheetId="0" hidden="1">'myexcel 1 '!$B$1:$B$215</definedName>
  </definedNames>
  <calcPr fullCalcOnLoad="1"/>
</workbook>
</file>

<file path=xl/sharedStrings.xml><?xml version="1.0" encoding="utf-8"?>
<sst xmlns="http://schemas.openxmlformats.org/spreadsheetml/2006/main" count="9" uniqueCount="9">
  <si>
    <t>学号</t>
  </si>
  <si>
    <t>课程名称</t>
  </si>
  <si>
    <t>课程类型</t>
  </si>
  <si>
    <t>老师姓名</t>
  </si>
  <si>
    <t>助理姓名</t>
  </si>
  <si>
    <t>开课学院</t>
  </si>
  <si>
    <t>序号</t>
  </si>
  <si>
    <t>会计学院</t>
  </si>
  <si>
    <t>附件1 2019-2020-2学期本科课程教学助理名单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</si>
</sst>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b/>
      <sz val="11"/>
      <color theme="1"/>
      <name val="宋体"/>
      <family val="0"/>
    </font>
    <font>
      <b/>
      <sz val="10"/>
      <color theme="1"/>
      <name val="宋体"/>
      <family val="0"/>
    </font>
    <font>
      <b/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5"/>
  <sheetViews>
    <sheetView showGridLines="0" tabSelected="1" zoomScalePageLayoutView="0" workbookViewId="0" topLeftCell="A208">
      <selection activeCell="C8" sqref="C8"/>
    </sheetView>
  </sheetViews>
  <sheetFormatPr defaultColWidth="9.140625" defaultRowHeight="15"/>
  <cols>
    <col min="1" max="1" width="6.421875" style="0" customWidth="1"/>
    <col min="2" max="2" width="18.7109375" style="0" customWidth="1"/>
    <col min="3" max="3" width="40.57421875" style="0" customWidth="1"/>
    <col min="4" max="4" width="14.421875" style="0" customWidth="1"/>
    <col min="5" max="5" width="11.8515625" style="0" customWidth="1"/>
    <col min="6" max="6" width="12.00390625" style="0" customWidth="1"/>
    <col min="7" max="7" width="15.00390625" style="0" customWidth="1"/>
  </cols>
  <sheetData>
    <row r="1" spans="1:7" ht="27.75" customHeight="1">
      <c r="A1" s="4" t="s">
        <v>8</v>
      </c>
      <c r="B1" s="4"/>
      <c r="C1" s="4"/>
      <c r="D1" s="4"/>
      <c r="E1" s="4"/>
      <c r="F1" s="4"/>
      <c r="G1" s="4"/>
    </row>
    <row r="2" spans="1:7" ht="27.75" customHeight="1">
      <c r="A2" s="2" t="s">
        <v>6</v>
      </c>
      <c r="B2" s="3" t="s">
        <v>5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0</v>
      </c>
    </row>
    <row r="3" spans="1:7" ht="27.75" customHeight="1">
      <c r="A3" s="1">
        <v>1</v>
      </c>
      <c r="B3" s="1" t="str">
        <f>"财政税务学院"</f>
        <v>财政税务学院</v>
      </c>
      <c r="C3" s="1" t="str">
        <f>"国家税收MOOC"</f>
        <v>国家税收MOOC</v>
      </c>
      <c r="D3" s="1" t="str">
        <f>"慕课"</f>
        <v>慕课</v>
      </c>
      <c r="E3" s="1" t="str">
        <f>"郝晓薇"</f>
        <v>郝晓薇</v>
      </c>
      <c r="F3" s="1" t="str">
        <f>"易思雨"</f>
        <v>易思雨</v>
      </c>
      <c r="G3" s="1" t="str">
        <f>"2180202Z6022"</f>
        <v>2180202Z6022</v>
      </c>
    </row>
    <row r="4" spans="1:7" ht="27.75" customHeight="1">
      <c r="A4" s="1">
        <v>2</v>
      </c>
      <c r="B4" s="1" t="str">
        <f>"财政税务学院"</f>
        <v>财政税务学院</v>
      </c>
      <c r="C4" s="1" t="str">
        <f>"财政学MOOC"</f>
        <v>财政学MOOC</v>
      </c>
      <c r="D4" s="1" t="str">
        <f>"慕课"</f>
        <v>慕课</v>
      </c>
      <c r="E4" s="1" t="str">
        <f>"周克清"</f>
        <v>周克清</v>
      </c>
      <c r="F4" s="1" t="str">
        <f>"杨昭"</f>
        <v>杨昭</v>
      </c>
      <c r="G4" s="1" t="str">
        <f>"117020203006"</f>
        <v>117020203006</v>
      </c>
    </row>
    <row r="5" spans="1:7" ht="27.75" customHeight="1">
      <c r="A5" s="1">
        <v>3</v>
      </c>
      <c r="B5" s="1" t="str">
        <f>"财政税务学院"</f>
        <v>财政税务学院</v>
      </c>
      <c r="C5" s="1" t="str">
        <f>"政府会计实务MOOC"</f>
        <v>政府会计实务MOOC</v>
      </c>
      <c r="D5" s="1" t="str">
        <f>"慕课"</f>
        <v>慕课</v>
      </c>
      <c r="E5" s="1" t="str">
        <f>"周克清"</f>
        <v>周克清</v>
      </c>
      <c r="F5" s="1" t="str">
        <f>"郑皓月"</f>
        <v>郑皓月</v>
      </c>
      <c r="G5" s="1" t="str">
        <f>"119020203005"</f>
        <v>119020203005</v>
      </c>
    </row>
    <row r="6" spans="1:7" ht="27.75" customHeight="1">
      <c r="A6" s="1">
        <v>4</v>
      </c>
      <c r="B6" s="1" t="str">
        <f aca="true" t="shared" si="0" ref="B6:B14">"工商管理学院"</f>
        <v>工商管理学院</v>
      </c>
      <c r="C6" s="1" t="str">
        <f>"微观经济学（英）"</f>
        <v>微观经济学（英）</v>
      </c>
      <c r="D6" s="1" t="str">
        <f>"大学科基础课"</f>
        <v>大学科基础课</v>
      </c>
      <c r="E6" s="1" t="str">
        <f>"刘忠"</f>
        <v>刘忠</v>
      </c>
      <c r="F6" s="1" t="str">
        <f>"劳伟健"</f>
        <v>劳伟健</v>
      </c>
      <c r="G6" s="1" t="str">
        <f>"219020205001"</f>
        <v>219020205001</v>
      </c>
    </row>
    <row r="7" spans="1:7" ht="27.75" customHeight="1">
      <c r="A7" s="1">
        <v>5</v>
      </c>
      <c r="B7" s="1" t="str">
        <f t="shared" si="0"/>
        <v>工商管理学院</v>
      </c>
      <c r="C7" s="1" t="str">
        <f>"微观经济学（英）"</f>
        <v>微观经济学（英）</v>
      </c>
      <c r="D7" s="1" t="str">
        <f>"大学科基础课"</f>
        <v>大学科基础课</v>
      </c>
      <c r="E7" s="1" t="str">
        <f>"董大鑫"</f>
        <v>董大鑫</v>
      </c>
      <c r="F7" s="1" t="str">
        <f>"陈文辉"</f>
        <v>陈文辉</v>
      </c>
      <c r="G7" s="1" t="str">
        <f>"2190201Z2001"</f>
        <v>2190201Z2001</v>
      </c>
    </row>
    <row r="8" spans="1:7" ht="27.75" customHeight="1">
      <c r="A8" s="1">
        <v>6</v>
      </c>
      <c r="B8" s="1" t="str">
        <f t="shared" si="0"/>
        <v>工商管理学院</v>
      </c>
      <c r="C8" s="1" t="str">
        <f>"微观经济学（英）"</f>
        <v>微观经济学（英）</v>
      </c>
      <c r="D8" s="1" t="str">
        <f>"大学科基础课"</f>
        <v>大学科基础课</v>
      </c>
      <c r="E8" s="1" t="str">
        <f>"董大鑫"</f>
        <v>董大鑫</v>
      </c>
      <c r="F8" s="1" t="str">
        <f>"倪尔雨"</f>
        <v>倪尔雨</v>
      </c>
      <c r="G8" s="1" t="str">
        <f>"219020201003"</f>
        <v>219020201003</v>
      </c>
    </row>
    <row r="9" spans="1:7" ht="27.75" customHeight="1">
      <c r="A9" s="1">
        <v>7</v>
      </c>
      <c r="B9" s="1" t="str">
        <f t="shared" si="0"/>
        <v>工商管理学院</v>
      </c>
      <c r="C9" s="1" t="str">
        <f>"微观经济学（英）"</f>
        <v>微观经济学（英）</v>
      </c>
      <c r="D9" s="1" t="str">
        <f>"大学科基础课"</f>
        <v>大学科基础课</v>
      </c>
      <c r="E9" s="1" t="str">
        <f>"丁玉莲"</f>
        <v>丁玉莲</v>
      </c>
      <c r="F9" s="1" t="str">
        <f>"张潇雪"</f>
        <v>张潇雪</v>
      </c>
      <c r="G9" s="1" t="str">
        <f>"218020204243"</f>
        <v>218020204243</v>
      </c>
    </row>
    <row r="10" spans="1:7" ht="27.75" customHeight="1">
      <c r="A10" s="1">
        <v>8</v>
      </c>
      <c r="B10" s="1" t="str">
        <f t="shared" si="0"/>
        <v>工商管理学院</v>
      </c>
      <c r="C10" s="1" t="str">
        <f>"创业管理MOOC"</f>
        <v>创业管理MOOC</v>
      </c>
      <c r="D10" s="1" t="str">
        <f>"慕课"</f>
        <v>慕课</v>
      </c>
      <c r="E10" s="1" t="str">
        <f>"徐宏玲"</f>
        <v>徐宏玲</v>
      </c>
      <c r="F10" s="1" t="str">
        <f>"周欣"</f>
        <v>周欣</v>
      </c>
      <c r="G10" s="1" t="str">
        <f>"218030503008"</f>
        <v>218030503008</v>
      </c>
    </row>
    <row r="11" spans="1:7" ht="27.75" customHeight="1">
      <c r="A11" s="1">
        <v>9</v>
      </c>
      <c r="B11" s="1" t="str">
        <f t="shared" si="0"/>
        <v>工商管理学院</v>
      </c>
      <c r="C11" s="1" t="str">
        <f>"管理学原理（英）"</f>
        <v>管理学原理（英）</v>
      </c>
      <c r="D11" s="1" t="str">
        <f>"大学科基础课"</f>
        <v>大学科基础课</v>
      </c>
      <c r="E11" s="1" t="str">
        <f>"沈涛"</f>
        <v>沈涛</v>
      </c>
      <c r="F11" s="1" t="str">
        <f>"穆鑫岩"</f>
        <v>穆鑫岩</v>
      </c>
      <c r="G11" s="1" t="str">
        <f>"1191202Z2001"</f>
        <v>1191202Z2001</v>
      </c>
    </row>
    <row r="12" spans="1:7" ht="27.75" customHeight="1">
      <c r="A12" s="1">
        <v>10</v>
      </c>
      <c r="B12" s="1" t="str">
        <f t="shared" si="0"/>
        <v>工商管理学院</v>
      </c>
      <c r="C12" s="1" t="str">
        <f>"市场营销学MOOC"</f>
        <v>市场营销学MOOC</v>
      </c>
      <c r="D12" s="1" t="str">
        <f>"慕课"</f>
        <v>慕课</v>
      </c>
      <c r="E12" s="1" t="str">
        <f>"白璇"</f>
        <v>白璇</v>
      </c>
      <c r="F12" s="1" t="str">
        <f>"牟春燕"</f>
        <v>牟春燕</v>
      </c>
      <c r="G12" s="1" t="str">
        <f>"2181202Z5008"</f>
        <v>2181202Z5008</v>
      </c>
    </row>
    <row r="13" spans="1:7" ht="27.75" customHeight="1">
      <c r="A13" s="1">
        <v>11</v>
      </c>
      <c r="B13" s="1" t="str">
        <f t="shared" si="0"/>
        <v>工商管理学院</v>
      </c>
      <c r="C13" s="1" t="str">
        <f>"市场营销学MOOC"</f>
        <v>市场营销学MOOC</v>
      </c>
      <c r="D13" s="1" t="str">
        <f>"慕课"</f>
        <v>慕课</v>
      </c>
      <c r="E13" s="1" t="str">
        <f>"白璇"</f>
        <v>白璇</v>
      </c>
      <c r="F13" s="1" t="str">
        <f>"龚潇潇"</f>
        <v>龚潇潇</v>
      </c>
      <c r="G13" s="1" t="str">
        <f>"117120299004"</f>
        <v>117120299004</v>
      </c>
    </row>
    <row r="14" spans="1:7" ht="27.75" customHeight="1">
      <c r="A14" s="1">
        <v>12</v>
      </c>
      <c r="B14" s="1" t="str">
        <f t="shared" si="0"/>
        <v>工商管理学院</v>
      </c>
      <c r="C14" s="1" t="str">
        <f>"互联网+服务系统设计MOOC"</f>
        <v>互联网+服务系统设计MOOC</v>
      </c>
      <c r="D14" s="1" t="str">
        <f>"慕课"</f>
        <v>慕课</v>
      </c>
      <c r="E14" s="1" t="str">
        <f>"张汉鹏"</f>
        <v>张汉鹏</v>
      </c>
      <c r="F14" s="1" t="str">
        <f>"吴玉萍"</f>
        <v>吴玉萍</v>
      </c>
      <c r="G14" s="1" t="str">
        <f>"117120299001"</f>
        <v>117120299001</v>
      </c>
    </row>
    <row r="15" spans="1:7" ht="27.75" customHeight="1">
      <c r="A15" s="1">
        <v>13</v>
      </c>
      <c r="B15" s="1" t="s">
        <v>7</v>
      </c>
      <c r="C15" s="1" t="str">
        <f>"会计学（双语）"</f>
        <v>会计学（双语）</v>
      </c>
      <c r="D15" s="1" t="str">
        <f aca="true" t="shared" si="1" ref="D15:D20">"大学科基础课"</f>
        <v>大学科基础课</v>
      </c>
      <c r="E15" s="1" t="str">
        <f>"梁婷"</f>
        <v>梁婷</v>
      </c>
      <c r="F15" s="1" t="str">
        <f>"王靖懿"</f>
        <v>王靖懿</v>
      </c>
      <c r="G15" s="1" t="str">
        <f>"116120201010"</f>
        <v>116120201010</v>
      </c>
    </row>
    <row r="16" spans="1:7" ht="27.75" customHeight="1">
      <c r="A16" s="1">
        <v>14</v>
      </c>
      <c r="B16" s="1" t="str">
        <f aca="true" t="shared" si="2" ref="B16:B38">"会计学院"</f>
        <v>会计学院</v>
      </c>
      <c r="C16" s="1" t="str">
        <f>"会计学"</f>
        <v>会计学</v>
      </c>
      <c r="D16" s="1" t="str">
        <f t="shared" si="1"/>
        <v>大学科基础课</v>
      </c>
      <c r="E16" s="1" t="str">
        <f>"张雪南"</f>
        <v>张雪南</v>
      </c>
      <c r="F16" s="1" t="str">
        <f>"陈坤"</f>
        <v>陈坤</v>
      </c>
      <c r="G16" s="1" t="str">
        <f>"118120201008"</f>
        <v>118120201008</v>
      </c>
    </row>
    <row r="17" spans="1:7" ht="27.75" customHeight="1">
      <c r="A17" s="1">
        <v>15</v>
      </c>
      <c r="B17" s="1" t="str">
        <f t="shared" si="2"/>
        <v>会计学院</v>
      </c>
      <c r="C17" s="1" t="str">
        <f>"会计学"</f>
        <v>会计学</v>
      </c>
      <c r="D17" s="1" t="str">
        <f t="shared" si="1"/>
        <v>大学科基础课</v>
      </c>
      <c r="E17" s="1" t="str">
        <f>"张雪南"</f>
        <v>张雪南</v>
      </c>
      <c r="F17" s="1" t="str">
        <f>"杨晋璇"</f>
        <v>杨晋璇</v>
      </c>
      <c r="G17" s="1" t="str">
        <f>"115120201001"</f>
        <v>115120201001</v>
      </c>
    </row>
    <row r="18" spans="1:7" ht="27.75" customHeight="1">
      <c r="A18" s="1">
        <v>16</v>
      </c>
      <c r="B18" s="1" t="str">
        <f t="shared" si="2"/>
        <v>会计学院</v>
      </c>
      <c r="C18" s="1" t="str">
        <f>"会计学"</f>
        <v>会计学</v>
      </c>
      <c r="D18" s="1" t="str">
        <f t="shared" si="1"/>
        <v>大学科基础课</v>
      </c>
      <c r="E18" s="1" t="str">
        <f>"李海燕"</f>
        <v>李海燕</v>
      </c>
      <c r="F18" s="1" t="str">
        <f>"吴君凤"</f>
        <v>吴君凤</v>
      </c>
      <c r="G18" s="1" t="str">
        <f>"1191202Z6001"</f>
        <v>1191202Z6001</v>
      </c>
    </row>
    <row r="19" spans="1:7" ht="27.75" customHeight="1">
      <c r="A19" s="1">
        <v>17</v>
      </c>
      <c r="B19" s="1" t="str">
        <f t="shared" si="2"/>
        <v>会计学院</v>
      </c>
      <c r="C19" s="1" t="str">
        <f>"会计学"</f>
        <v>会计学</v>
      </c>
      <c r="D19" s="1" t="str">
        <f t="shared" si="1"/>
        <v>大学科基础课</v>
      </c>
      <c r="E19" s="1" t="str">
        <f>"蒋航程"</f>
        <v>蒋航程</v>
      </c>
      <c r="F19" s="1" t="str">
        <f>"刘敏"</f>
        <v>刘敏</v>
      </c>
      <c r="G19" s="1" t="str">
        <f>"218120201024"</f>
        <v>218120201024</v>
      </c>
    </row>
    <row r="20" spans="1:7" ht="27.75" customHeight="1">
      <c r="A20" s="1">
        <v>18</v>
      </c>
      <c r="B20" s="1" t="str">
        <f t="shared" si="2"/>
        <v>会计学院</v>
      </c>
      <c r="C20" s="1" t="str">
        <f>"会计学"</f>
        <v>会计学</v>
      </c>
      <c r="D20" s="1" t="str">
        <f t="shared" si="1"/>
        <v>大学科基础课</v>
      </c>
      <c r="E20" s="1" t="str">
        <f>"蒋航程"</f>
        <v>蒋航程</v>
      </c>
      <c r="F20" s="1" t="str">
        <f>"白静"</f>
        <v>白静</v>
      </c>
      <c r="G20" s="1" t="str">
        <f>"1191202Z6004"</f>
        <v>1191202Z6004</v>
      </c>
    </row>
    <row r="21" spans="1:7" ht="27.75" customHeight="1">
      <c r="A21" s="1">
        <v>19</v>
      </c>
      <c r="B21" s="1" t="str">
        <f t="shared" si="2"/>
        <v>会计学院</v>
      </c>
      <c r="C21" s="1" t="str">
        <f>"管理会计学MOOC"</f>
        <v>管理会计学MOOC</v>
      </c>
      <c r="D21" s="1" t="str">
        <f>"慕课"</f>
        <v>慕课</v>
      </c>
      <c r="E21" s="1" t="str">
        <f>"李玉周"</f>
        <v>李玉周</v>
      </c>
      <c r="F21" s="1" t="str">
        <f>"闫新月"</f>
        <v>闫新月</v>
      </c>
      <c r="G21" s="1" t="str">
        <f>"2191202Z6017"</f>
        <v>2191202Z6017</v>
      </c>
    </row>
    <row r="22" spans="1:7" ht="27.75" customHeight="1">
      <c r="A22" s="1">
        <v>20</v>
      </c>
      <c r="B22" s="1" t="str">
        <f t="shared" si="2"/>
        <v>会计学院</v>
      </c>
      <c r="C22" s="1" t="str">
        <f>"综合能力训练（ERP模拟经营沙盘）MOOC"</f>
        <v>综合能力训练（ERP模拟经营沙盘）MOOC</v>
      </c>
      <c r="D22" s="1" t="str">
        <f>"慕课"</f>
        <v>慕课</v>
      </c>
      <c r="E22" s="1" t="str">
        <f>"邹燕"</f>
        <v>邹燕</v>
      </c>
      <c r="F22" s="1" t="str">
        <f>"蔡东平"</f>
        <v>蔡东平</v>
      </c>
      <c r="G22" s="1" t="str">
        <f>"219120201025"</f>
        <v>219120201025</v>
      </c>
    </row>
    <row r="23" spans="1:7" ht="27.75" customHeight="1">
      <c r="A23" s="1">
        <v>21</v>
      </c>
      <c r="B23" s="1" t="str">
        <f t="shared" si="2"/>
        <v>会计学院</v>
      </c>
      <c r="C23" s="1" t="str">
        <f>"综合能力训练（ERP模拟经营沙盘）MOOC"</f>
        <v>综合能力训练（ERP模拟经营沙盘）MOOC</v>
      </c>
      <c r="D23" s="1" t="str">
        <f>"慕课"</f>
        <v>慕课</v>
      </c>
      <c r="E23" s="1" t="str">
        <f>"邹燕"</f>
        <v>邹燕</v>
      </c>
      <c r="F23" s="1" t="str">
        <f>"罗玉"</f>
        <v>罗玉</v>
      </c>
      <c r="G23" s="1" t="str">
        <f>"218125300180"</f>
        <v>218125300180</v>
      </c>
    </row>
    <row r="24" spans="1:7" ht="27.75" customHeight="1">
      <c r="A24" s="1">
        <v>22</v>
      </c>
      <c r="B24" s="1" t="str">
        <f t="shared" si="2"/>
        <v>会计学院</v>
      </c>
      <c r="C24" s="1" t="str">
        <f>"会计学"</f>
        <v>会计学</v>
      </c>
      <c r="D24" s="1" t="str">
        <f>"大学科基础课"</f>
        <v>大学科基础课</v>
      </c>
      <c r="E24" s="1" t="str">
        <f>"张力"</f>
        <v>张力</v>
      </c>
      <c r="F24" s="1" t="str">
        <f>"郑倩雯"</f>
        <v>郑倩雯</v>
      </c>
      <c r="G24" s="1" t="str">
        <f>"1161202Z7003"</f>
        <v>1161202Z7003</v>
      </c>
    </row>
    <row r="25" spans="1:7" ht="27.75" customHeight="1">
      <c r="A25" s="1">
        <v>23</v>
      </c>
      <c r="B25" s="1" t="str">
        <f t="shared" si="2"/>
        <v>会计学院</v>
      </c>
      <c r="C25" s="1" t="str">
        <f>"会计学"</f>
        <v>会计学</v>
      </c>
      <c r="D25" s="1" t="str">
        <f>"大学科基础课"</f>
        <v>大学科基础课</v>
      </c>
      <c r="E25" s="1" t="str">
        <f>"张力"</f>
        <v>张力</v>
      </c>
      <c r="F25" s="1" t="str">
        <f>"张翼凌"</f>
        <v>张翼凌</v>
      </c>
      <c r="G25" s="1" t="str">
        <f>"117120297001"</f>
        <v>117120297001</v>
      </c>
    </row>
    <row r="26" spans="1:7" ht="27.75" customHeight="1">
      <c r="A26" s="1">
        <v>24</v>
      </c>
      <c r="B26" s="1" t="str">
        <f t="shared" si="2"/>
        <v>会计学院</v>
      </c>
      <c r="C26" s="1" t="str">
        <f>"会计学"</f>
        <v>会计学</v>
      </c>
      <c r="D26" s="1" t="str">
        <f>"专业必修课"</f>
        <v>专业必修课</v>
      </c>
      <c r="E26" s="1" t="str">
        <f>"罗朝晖"</f>
        <v>罗朝晖</v>
      </c>
      <c r="F26" s="1" t="str">
        <f>"朱磊"</f>
        <v>朱磊</v>
      </c>
      <c r="G26" s="1" t="str">
        <f>"118120201007"</f>
        <v>118120201007</v>
      </c>
    </row>
    <row r="27" spans="1:7" ht="27.75" customHeight="1">
      <c r="A27" s="1">
        <v>25</v>
      </c>
      <c r="B27" s="1" t="str">
        <f t="shared" si="2"/>
        <v>会计学院</v>
      </c>
      <c r="C27" s="1" t="str">
        <f>"会计学"</f>
        <v>会计学</v>
      </c>
      <c r="D27" s="1" t="str">
        <f>"大学科基础课"</f>
        <v>大学科基础课</v>
      </c>
      <c r="E27" s="1" t="str">
        <f>"易阳"</f>
        <v>易阳</v>
      </c>
      <c r="F27" s="1" t="str">
        <f>"岳佳彬"</f>
        <v>岳佳彬</v>
      </c>
      <c r="G27" s="1" t="str">
        <f>"2191202Z6027"</f>
        <v>2191202Z6027</v>
      </c>
    </row>
    <row r="28" spans="1:7" ht="27.75" customHeight="1">
      <c r="A28" s="1">
        <v>26</v>
      </c>
      <c r="B28" s="1" t="str">
        <f t="shared" si="2"/>
        <v>会计学院</v>
      </c>
      <c r="C28" s="1" t="str">
        <f>"The Principle of AuditingMOOC"</f>
        <v>The Principle of AuditingMOOC</v>
      </c>
      <c r="D28" s="1" t="str">
        <f>"慕课"</f>
        <v>慕课</v>
      </c>
      <c r="E28" s="1" t="str">
        <f>"李越冬"</f>
        <v>李越冬</v>
      </c>
      <c r="F28" s="1" t="str">
        <f>"程杰"</f>
        <v>程杰</v>
      </c>
      <c r="G28" s="1" t="str">
        <f>"1191202Z6005"</f>
        <v>1191202Z6005</v>
      </c>
    </row>
    <row r="29" spans="1:7" ht="27.75" customHeight="1">
      <c r="A29" s="1">
        <v>27</v>
      </c>
      <c r="B29" s="1" t="str">
        <f t="shared" si="2"/>
        <v>会计学院</v>
      </c>
      <c r="C29" s="1" t="str">
        <f>"审计学MOOC"</f>
        <v>审计学MOOC</v>
      </c>
      <c r="D29" s="1" t="str">
        <f>"慕课"</f>
        <v>慕课</v>
      </c>
      <c r="E29" s="1" t="str">
        <f>"李越冬"</f>
        <v>李越冬</v>
      </c>
      <c r="F29" s="1" t="str">
        <f>"尹露涓"</f>
        <v>尹露涓</v>
      </c>
      <c r="G29" s="1" t="str">
        <f>"219025700004"</f>
        <v>219025700004</v>
      </c>
    </row>
    <row r="30" spans="1:7" ht="27.75" customHeight="1">
      <c r="A30" s="1">
        <v>28</v>
      </c>
      <c r="B30" s="1" t="str">
        <f t="shared" si="2"/>
        <v>会计学院</v>
      </c>
      <c r="C30" s="1" t="str">
        <f aca="true" t="shared" si="3" ref="C30:C35">"会计学"</f>
        <v>会计学</v>
      </c>
      <c r="D30" s="1" t="str">
        <f aca="true" t="shared" si="4" ref="D30:D35">"大学科基础课"</f>
        <v>大学科基础课</v>
      </c>
      <c r="E30" s="1" t="str">
        <f>"冯建"</f>
        <v>冯建</v>
      </c>
      <c r="F30" s="1" t="str">
        <f>"谢志宏"</f>
        <v>谢志宏</v>
      </c>
      <c r="G30" s="1" t="str">
        <f>"2171202Z6042"</f>
        <v>2171202Z6042</v>
      </c>
    </row>
    <row r="31" spans="1:7" ht="27.75" customHeight="1">
      <c r="A31" s="1">
        <v>29</v>
      </c>
      <c r="B31" s="1" t="str">
        <f t="shared" si="2"/>
        <v>会计学院</v>
      </c>
      <c r="C31" s="1" t="str">
        <f t="shared" si="3"/>
        <v>会计学</v>
      </c>
      <c r="D31" s="1" t="str">
        <f t="shared" si="4"/>
        <v>大学科基础课</v>
      </c>
      <c r="E31" s="1" t="str">
        <f>"杨鸣京"</f>
        <v>杨鸣京</v>
      </c>
      <c r="F31" s="1" t="str">
        <f>"徐藩"</f>
        <v>徐藩</v>
      </c>
      <c r="G31" s="1" t="str">
        <f>"218120201029"</f>
        <v>218120201029</v>
      </c>
    </row>
    <row r="32" spans="1:7" ht="27.75" customHeight="1">
      <c r="A32" s="1">
        <v>30</v>
      </c>
      <c r="B32" s="1" t="str">
        <f t="shared" si="2"/>
        <v>会计学院</v>
      </c>
      <c r="C32" s="1" t="str">
        <f t="shared" si="3"/>
        <v>会计学</v>
      </c>
      <c r="D32" s="1" t="str">
        <f t="shared" si="4"/>
        <v>大学科基础课</v>
      </c>
      <c r="E32" s="1" t="str">
        <f>"胡宁"</f>
        <v>胡宁</v>
      </c>
      <c r="F32" s="1" t="str">
        <f>"黄婉"</f>
        <v>黄婉</v>
      </c>
      <c r="G32" s="1" t="str">
        <f>"119120201002"</f>
        <v>119120201002</v>
      </c>
    </row>
    <row r="33" spans="1:7" ht="27.75" customHeight="1">
      <c r="A33" s="1">
        <v>31</v>
      </c>
      <c r="B33" s="1" t="str">
        <f t="shared" si="2"/>
        <v>会计学院</v>
      </c>
      <c r="C33" s="1" t="str">
        <f t="shared" si="3"/>
        <v>会计学</v>
      </c>
      <c r="D33" s="1" t="str">
        <f t="shared" si="4"/>
        <v>大学科基础课</v>
      </c>
      <c r="E33" s="1" t="str">
        <f>"赵海龙"</f>
        <v>赵海龙</v>
      </c>
      <c r="F33" s="1" t="str">
        <f>"宇文蕙兰"</f>
        <v>宇文蕙兰</v>
      </c>
      <c r="G33" s="1" t="str">
        <f>"119120201006"</f>
        <v>119120201006</v>
      </c>
    </row>
    <row r="34" spans="1:7" ht="27.75" customHeight="1">
      <c r="A34" s="1">
        <v>32</v>
      </c>
      <c r="B34" s="1" t="str">
        <f t="shared" si="2"/>
        <v>会计学院</v>
      </c>
      <c r="C34" s="1" t="str">
        <f t="shared" si="3"/>
        <v>会计学</v>
      </c>
      <c r="D34" s="1" t="str">
        <f t="shared" si="4"/>
        <v>大学科基础课</v>
      </c>
      <c r="E34" s="1" t="str">
        <f>"赵海龙"</f>
        <v>赵海龙</v>
      </c>
      <c r="F34" s="1" t="str">
        <f>"王治"</f>
        <v>王治</v>
      </c>
      <c r="G34" s="1" t="str">
        <f>"218120201043"</f>
        <v>218120201043</v>
      </c>
    </row>
    <row r="35" spans="1:7" ht="27.75" customHeight="1">
      <c r="A35" s="1">
        <v>33</v>
      </c>
      <c r="B35" s="1" t="str">
        <f t="shared" si="2"/>
        <v>会计学院</v>
      </c>
      <c r="C35" s="1" t="str">
        <f t="shared" si="3"/>
        <v>会计学</v>
      </c>
      <c r="D35" s="1" t="str">
        <f t="shared" si="4"/>
        <v>大学科基础课</v>
      </c>
      <c r="E35" s="1" t="str">
        <f>"邓博夫"</f>
        <v>邓博夫</v>
      </c>
      <c r="F35" s="1" t="str">
        <f>"刘钟敏"</f>
        <v>刘钟敏</v>
      </c>
      <c r="G35" s="1" t="str">
        <f>"117120296007"</f>
        <v>117120296007</v>
      </c>
    </row>
    <row r="36" spans="1:7" ht="27.75" customHeight="1">
      <c r="A36" s="1">
        <v>34</v>
      </c>
      <c r="B36" s="1" t="str">
        <f t="shared" si="2"/>
        <v>会计学院</v>
      </c>
      <c r="C36" s="1" t="str">
        <f>"历史转折中的会计：从文艺复兴到金融危机MOOC"</f>
        <v>历史转折中的会计：从文艺复兴到金融危机MOOC</v>
      </c>
      <c r="D36" s="1" t="str">
        <f>"慕课"</f>
        <v>慕课</v>
      </c>
      <c r="E36" s="1" t="str">
        <f>"邓博夫"</f>
        <v>邓博夫</v>
      </c>
      <c r="F36" s="1" t="str">
        <f>"牟佳琪"</f>
        <v>牟佳琪</v>
      </c>
      <c r="G36" s="1" t="str">
        <f>"218120201030"</f>
        <v>218120201030</v>
      </c>
    </row>
    <row r="37" spans="1:7" ht="27.75" customHeight="1">
      <c r="A37" s="1">
        <v>35</v>
      </c>
      <c r="B37" s="1" t="str">
        <f t="shared" si="2"/>
        <v>会计学院</v>
      </c>
      <c r="C37" s="1" t="str">
        <f>"历史转折中的会计：从文艺复兴到金融危机MOOC"</f>
        <v>历史转折中的会计：从文艺复兴到金融危机MOOC</v>
      </c>
      <c r="D37" s="1" t="str">
        <f>"慕课"</f>
        <v>慕课</v>
      </c>
      <c r="E37" s="1" t="str">
        <f>"邓博夫"</f>
        <v>邓博夫</v>
      </c>
      <c r="F37" s="1" t="str">
        <f>"严静诗"</f>
        <v>严静诗</v>
      </c>
      <c r="G37" s="1" t="str">
        <f>"117120201007"</f>
        <v>117120201007</v>
      </c>
    </row>
    <row r="38" spans="1:7" ht="27.75" customHeight="1">
      <c r="A38" s="1">
        <v>36</v>
      </c>
      <c r="B38" s="1" t="str">
        <f t="shared" si="2"/>
        <v>会计学院</v>
      </c>
      <c r="C38" s="1" t="str">
        <f>"会计学"</f>
        <v>会计学</v>
      </c>
      <c r="D38" s="1" t="str">
        <f>"大学科基础课"</f>
        <v>大学科基础课</v>
      </c>
      <c r="E38" s="1" t="str">
        <f>"邓博夫"</f>
        <v>邓博夫</v>
      </c>
      <c r="F38" s="1" t="str">
        <f>"董雅浩"</f>
        <v>董雅浩</v>
      </c>
      <c r="G38" s="1" t="str">
        <f>"118120201006"</f>
        <v>118120201006</v>
      </c>
    </row>
    <row r="39" spans="1:7" ht="27.75" customHeight="1">
      <c r="A39" s="1">
        <v>37</v>
      </c>
      <c r="B39" s="1" t="str">
        <f>"金融学院"</f>
        <v>金融学院</v>
      </c>
      <c r="C39" s="1" t="str">
        <f>"货币金融学"</f>
        <v>货币金融学</v>
      </c>
      <c r="D39" s="1" t="str">
        <f>"大学科基础课"</f>
        <v>大学科基础课</v>
      </c>
      <c r="E39" s="1" t="str">
        <f>"周丽晖"</f>
        <v>周丽晖</v>
      </c>
      <c r="F39" s="1" t="str">
        <f>"张佳欣"</f>
        <v>张佳欣</v>
      </c>
      <c r="G39" s="1" t="str">
        <f>"219020201006"</f>
        <v>219020201006</v>
      </c>
    </row>
    <row r="40" spans="1:7" ht="27.75" customHeight="1">
      <c r="A40" s="1">
        <v>38</v>
      </c>
      <c r="B40" s="1" t="str">
        <f>"金融学院"</f>
        <v>金融学院</v>
      </c>
      <c r="C40" s="1" t="str">
        <f>"货币金融学"</f>
        <v>货币金融学</v>
      </c>
      <c r="D40" s="1" t="str">
        <f>"大学科基础课"</f>
        <v>大学科基础课</v>
      </c>
      <c r="E40" s="1" t="str">
        <f>"周丽晖"</f>
        <v>周丽晖</v>
      </c>
      <c r="F40" s="1" t="str">
        <f>"谭晶桦"</f>
        <v>谭晶桦</v>
      </c>
      <c r="G40" s="1" t="str">
        <f>"118020204054"</f>
        <v>118020204054</v>
      </c>
    </row>
    <row r="41" spans="1:7" ht="27.75" customHeight="1">
      <c r="A41" s="1">
        <v>39</v>
      </c>
      <c r="B41" s="1" t="str">
        <f aca="true" t="shared" si="5" ref="B41:B72">"经济数学学院"</f>
        <v>经济数学学院</v>
      </c>
      <c r="C41" s="1" t="str">
        <f>"高等数学Ⅱ"</f>
        <v>高等数学Ⅱ</v>
      </c>
      <c r="D41" s="1" t="str">
        <f>"通识基础课"</f>
        <v>通识基础课</v>
      </c>
      <c r="E41" s="1" t="str">
        <f>"李楠"</f>
        <v>李楠</v>
      </c>
      <c r="F41" s="1" t="str">
        <f>"王聪"</f>
        <v>王聪</v>
      </c>
      <c r="G41" s="1" t="str">
        <f>"117020204020"</f>
        <v>117020204020</v>
      </c>
    </row>
    <row r="42" spans="1:7" ht="27.75" customHeight="1">
      <c r="A42" s="1">
        <v>40</v>
      </c>
      <c r="B42" s="1" t="str">
        <f t="shared" si="5"/>
        <v>经济数学学院</v>
      </c>
      <c r="C42" s="1" t="str">
        <f>"高等数学Ⅱ"</f>
        <v>高等数学Ⅱ</v>
      </c>
      <c r="D42" s="1" t="str">
        <f>"通识基础课"</f>
        <v>通识基础课</v>
      </c>
      <c r="E42" s="1" t="str">
        <f>"李楠"</f>
        <v>李楠</v>
      </c>
      <c r="F42" s="1" t="str">
        <f>"韩明远"</f>
        <v>韩明远</v>
      </c>
      <c r="G42" s="1" t="str">
        <f>"218020209032"</f>
        <v>218020209032</v>
      </c>
    </row>
    <row r="43" spans="1:7" ht="27.75" customHeight="1">
      <c r="A43" s="1">
        <v>41</v>
      </c>
      <c r="B43" s="1" t="str">
        <f t="shared" si="5"/>
        <v>经济数学学院</v>
      </c>
      <c r="C43" s="1" t="str">
        <f>"高等数学Ⅱ"</f>
        <v>高等数学Ⅱ</v>
      </c>
      <c r="D43" s="1" t="str">
        <f>"专业必修课"</f>
        <v>专业必修课</v>
      </c>
      <c r="E43" s="1" t="str">
        <f>"刘彩平"</f>
        <v>刘彩平</v>
      </c>
      <c r="F43" s="1" t="str">
        <f>"杜谦"</f>
        <v>杜谦</v>
      </c>
      <c r="G43" s="1" t="str">
        <f>"217070100002"</f>
        <v>217070100002</v>
      </c>
    </row>
    <row r="44" spans="1:7" ht="27.75" customHeight="1">
      <c r="A44" s="1">
        <v>42</v>
      </c>
      <c r="B44" s="1" t="str">
        <f t="shared" si="5"/>
        <v>经济数学学院</v>
      </c>
      <c r="C44" s="1" t="str">
        <f>"高等数学Ⅱ"</f>
        <v>高等数学Ⅱ</v>
      </c>
      <c r="D44" s="1" t="str">
        <f>"通识基础课"</f>
        <v>通识基础课</v>
      </c>
      <c r="E44" s="1" t="str">
        <f>"刘彩平"</f>
        <v>刘彩平</v>
      </c>
      <c r="F44" s="1" t="str">
        <f>"童琳"</f>
        <v>童琳</v>
      </c>
      <c r="G44" s="1" t="str">
        <f>"219020208007"</f>
        <v>219020208007</v>
      </c>
    </row>
    <row r="45" spans="1:7" ht="27.75" customHeight="1">
      <c r="A45" s="1">
        <v>43</v>
      </c>
      <c r="B45" s="1" t="str">
        <f t="shared" si="5"/>
        <v>经济数学学院</v>
      </c>
      <c r="C45" s="1" t="str">
        <f>"泛函分析"</f>
        <v>泛函分析</v>
      </c>
      <c r="D45" s="1" t="str">
        <f>"专业方向课"</f>
        <v>专业方向课</v>
      </c>
      <c r="E45" s="1" t="str">
        <f>"李静"</f>
        <v>李静</v>
      </c>
      <c r="F45" s="1" t="str">
        <f>"赵森杨"</f>
        <v>赵森杨</v>
      </c>
      <c r="G45" s="1" t="str">
        <f>"117020204015"</f>
        <v>117020204015</v>
      </c>
    </row>
    <row r="46" spans="1:7" ht="27.75" customHeight="1">
      <c r="A46" s="1">
        <v>44</v>
      </c>
      <c r="B46" s="1" t="str">
        <f t="shared" si="5"/>
        <v>经济数学学院</v>
      </c>
      <c r="C46" s="1" t="str">
        <f aca="true" t="shared" si="6" ref="C46:C51">"高等数学Ⅱ"</f>
        <v>高等数学Ⅱ</v>
      </c>
      <c r="D46" s="1" t="str">
        <f aca="true" t="shared" si="7" ref="D46:D55">"通识基础课"</f>
        <v>通识基础课</v>
      </c>
      <c r="E46" s="1" t="str">
        <f>"代宏霞"</f>
        <v>代宏霞</v>
      </c>
      <c r="F46" s="1" t="str">
        <f>"涂桂"</f>
        <v>涂桂</v>
      </c>
      <c r="G46" s="1" t="str">
        <f>"2180202Z1019"</f>
        <v>2180202Z1019</v>
      </c>
    </row>
    <row r="47" spans="1:7" ht="27.75" customHeight="1">
      <c r="A47" s="1">
        <v>45</v>
      </c>
      <c r="B47" s="1" t="str">
        <f t="shared" si="5"/>
        <v>经济数学学院</v>
      </c>
      <c r="C47" s="1" t="str">
        <f t="shared" si="6"/>
        <v>高等数学Ⅱ</v>
      </c>
      <c r="D47" s="1" t="str">
        <f t="shared" si="7"/>
        <v>通识基础课</v>
      </c>
      <c r="E47" s="1" t="str">
        <f>"代宏霞"</f>
        <v>代宏霞</v>
      </c>
      <c r="F47" s="1" t="str">
        <f>"王寅苏"</f>
        <v>王寅苏</v>
      </c>
      <c r="G47" s="1" t="str">
        <f>"218020106002"</f>
        <v>218020106002</v>
      </c>
    </row>
    <row r="48" spans="1:7" ht="27.75" customHeight="1">
      <c r="A48" s="1">
        <v>46</v>
      </c>
      <c r="B48" s="1" t="str">
        <f t="shared" si="5"/>
        <v>经济数学学院</v>
      </c>
      <c r="C48" s="1" t="str">
        <f t="shared" si="6"/>
        <v>高等数学Ⅱ</v>
      </c>
      <c r="D48" s="1" t="str">
        <f t="shared" si="7"/>
        <v>通识基础课</v>
      </c>
      <c r="E48" s="1" t="str">
        <f>"崔红卫"</f>
        <v>崔红卫</v>
      </c>
      <c r="F48" s="1" t="str">
        <f>"李立婷"</f>
        <v>李立婷</v>
      </c>
      <c r="G48" s="1" t="str">
        <f>"118120204007"</f>
        <v>118120204007</v>
      </c>
    </row>
    <row r="49" spans="1:7" ht="27.75" customHeight="1">
      <c r="A49" s="1">
        <v>47</v>
      </c>
      <c r="B49" s="1" t="str">
        <f t="shared" si="5"/>
        <v>经济数学学院</v>
      </c>
      <c r="C49" s="1" t="str">
        <f t="shared" si="6"/>
        <v>高等数学Ⅱ</v>
      </c>
      <c r="D49" s="1" t="str">
        <f t="shared" si="7"/>
        <v>通识基础课</v>
      </c>
      <c r="E49" s="1" t="str">
        <f>"崔红卫"</f>
        <v>崔红卫</v>
      </c>
      <c r="F49" s="1" t="str">
        <f>"谢雨心"</f>
        <v>谢雨心</v>
      </c>
      <c r="G49" s="1" t="str">
        <f>"119020105001"</f>
        <v>119020105001</v>
      </c>
    </row>
    <row r="50" spans="1:7" ht="27.75" customHeight="1">
      <c r="A50" s="1">
        <v>48</v>
      </c>
      <c r="B50" s="1" t="str">
        <f t="shared" si="5"/>
        <v>经济数学学院</v>
      </c>
      <c r="C50" s="1" t="str">
        <f t="shared" si="6"/>
        <v>高等数学Ⅱ</v>
      </c>
      <c r="D50" s="1" t="str">
        <f t="shared" si="7"/>
        <v>通识基础课</v>
      </c>
      <c r="E50" s="1" t="str">
        <f>"戴岱"</f>
        <v>戴岱</v>
      </c>
      <c r="F50" s="1" t="str">
        <f>"余毅翔"</f>
        <v>余毅翔</v>
      </c>
      <c r="G50" s="1" t="str">
        <f>"217020208009"</f>
        <v>217020208009</v>
      </c>
    </row>
    <row r="51" spans="1:7" ht="27.75" customHeight="1">
      <c r="A51" s="1">
        <v>49</v>
      </c>
      <c r="B51" s="1" t="str">
        <f t="shared" si="5"/>
        <v>经济数学学院</v>
      </c>
      <c r="C51" s="1" t="str">
        <f t="shared" si="6"/>
        <v>高等数学Ⅱ</v>
      </c>
      <c r="D51" s="1" t="str">
        <f t="shared" si="7"/>
        <v>通识基础课</v>
      </c>
      <c r="E51" s="1" t="str">
        <f>"戴岱"</f>
        <v>戴岱</v>
      </c>
      <c r="F51" s="1" t="str">
        <f>"吴念"</f>
        <v>吴念</v>
      </c>
      <c r="G51" s="1" t="str">
        <f>"119071400005"</f>
        <v>119071400005</v>
      </c>
    </row>
    <row r="52" spans="1:7" ht="27.75" customHeight="1">
      <c r="A52" s="1">
        <v>50</v>
      </c>
      <c r="B52" s="1" t="str">
        <f t="shared" si="5"/>
        <v>经济数学学院</v>
      </c>
      <c r="C52" s="1" t="str">
        <f aca="true" t="shared" si="8" ref="C52:C58">"高等代数Ⅱ"</f>
        <v>高等代数Ⅱ</v>
      </c>
      <c r="D52" s="1" t="str">
        <f t="shared" si="7"/>
        <v>通识基础课</v>
      </c>
      <c r="E52" s="1" t="str">
        <f>"高雪梅"</f>
        <v>高雪梅</v>
      </c>
      <c r="F52" s="1" t="str">
        <f>"倪丽亚"</f>
        <v>倪丽亚</v>
      </c>
      <c r="G52" s="1" t="str">
        <f>"2190202Z1018"</f>
        <v>2190202Z1018</v>
      </c>
    </row>
    <row r="53" spans="1:7" ht="27.75" customHeight="1">
      <c r="A53" s="1">
        <v>51</v>
      </c>
      <c r="B53" s="1" t="str">
        <f t="shared" si="5"/>
        <v>经济数学学院</v>
      </c>
      <c r="C53" s="1" t="str">
        <f t="shared" si="8"/>
        <v>高等代数Ⅱ</v>
      </c>
      <c r="D53" s="1" t="str">
        <f t="shared" si="7"/>
        <v>通识基础课</v>
      </c>
      <c r="E53" s="1" t="str">
        <f>"高雪梅"</f>
        <v>高雪梅</v>
      </c>
      <c r="F53" s="1" t="str">
        <f>"鹿正阳"</f>
        <v>鹿正阳</v>
      </c>
      <c r="G53" s="1" t="str">
        <f>"2180202Z1026"</f>
        <v>2180202Z1026</v>
      </c>
    </row>
    <row r="54" spans="1:7" ht="27.75" customHeight="1">
      <c r="A54" s="1">
        <v>52</v>
      </c>
      <c r="B54" s="1" t="str">
        <f t="shared" si="5"/>
        <v>经济数学学院</v>
      </c>
      <c r="C54" s="1" t="str">
        <f t="shared" si="8"/>
        <v>高等代数Ⅱ</v>
      </c>
      <c r="D54" s="1" t="str">
        <f t="shared" si="7"/>
        <v>通识基础课</v>
      </c>
      <c r="E54" s="1" t="str">
        <f>"高雪梅"</f>
        <v>高雪梅</v>
      </c>
      <c r="F54" s="1" t="str">
        <f>"秦志龙"</f>
        <v>秦志龙</v>
      </c>
      <c r="G54" s="1" t="str">
        <f>"118020104007"</f>
        <v>118020104007</v>
      </c>
    </row>
    <row r="55" spans="1:7" ht="27.75" customHeight="1">
      <c r="A55" s="1">
        <v>53</v>
      </c>
      <c r="B55" s="1" t="str">
        <f t="shared" si="5"/>
        <v>经济数学学院</v>
      </c>
      <c r="C55" s="1" t="str">
        <f t="shared" si="8"/>
        <v>高等代数Ⅱ</v>
      </c>
      <c r="D55" s="1" t="str">
        <f t="shared" si="7"/>
        <v>通识基础课</v>
      </c>
      <c r="E55" s="1" t="str">
        <f>"赵建容"</f>
        <v>赵建容</v>
      </c>
      <c r="F55" s="1" t="str">
        <f>"冯沙沙"</f>
        <v>冯沙沙</v>
      </c>
      <c r="G55" s="1" t="str">
        <f>"2190202Z4004"</f>
        <v>2190202Z4004</v>
      </c>
    </row>
    <row r="56" spans="1:7" ht="27.75" customHeight="1">
      <c r="A56" s="1">
        <v>54</v>
      </c>
      <c r="B56" s="1" t="str">
        <f t="shared" si="5"/>
        <v>经济数学学院</v>
      </c>
      <c r="C56" s="1" t="str">
        <f t="shared" si="8"/>
        <v>高等代数Ⅱ</v>
      </c>
      <c r="D56" s="1" t="str">
        <f>"专业方向课"</f>
        <v>专业方向课</v>
      </c>
      <c r="E56" s="1" t="str">
        <f>"赵建容"</f>
        <v>赵建容</v>
      </c>
      <c r="F56" s="1" t="str">
        <f>"周上琳"</f>
        <v>周上琳</v>
      </c>
      <c r="G56" s="1" t="str">
        <f>"119020104003"</f>
        <v>119020104003</v>
      </c>
    </row>
    <row r="57" spans="1:7" ht="27.75" customHeight="1">
      <c r="A57" s="1">
        <v>55</v>
      </c>
      <c r="B57" s="1" t="str">
        <f t="shared" si="5"/>
        <v>经济数学学院</v>
      </c>
      <c r="C57" s="1" t="str">
        <f t="shared" si="8"/>
        <v>高等代数Ⅱ</v>
      </c>
      <c r="D57" s="1" t="str">
        <f>"通识基础课"</f>
        <v>通识基础课</v>
      </c>
      <c r="E57" s="1" t="str">
        <f>"赵建容"</f>
        <v>赵建容</v>
      </c>
      <c r="F57" s="1" t="str">
        <f>"邓怡"</f>
        <v>邓怡</v>
      </c>
      <c r="G57" s="1" t="str">
        <f>"2180202Z1027"</f>
        <v>2180202Z1027</v>
      </c>
    </row>
    <row r="58" spans="1:7" ht="27.75" customHeight="1">
      <c r="A58" s="1">
        <v>56</v>
      </c>
      <c r="B58" s="1" t="str">
        <f t="shared" si="5"/>
        <v>经济数学学院</v>
      </c>
      <c r="C58" s="1" t="str">
        <f t="shared" si="8"/>
        <v>高等代数Ⅱ</v>
      </c>
      <c r="D58" s="1" t="str">
        <f>"通识基础课"</f>
        <v>通识基础课</v>
      </c>
      <c r="E58" s="1" t="str">
        <f>"赵建容"</f>
        <v>赵建容</v>
      </c>
      <c r="F58" s="1" t="str">
        <f>"李亚玲"</f>
        <v>李亚玲</v>
      </c>
      <c r="G58" s="1" t="str">
        <f>"218020204075"</f>
        <v>218020204075</v>
      </c>
    </row>
    <row r="59" spans="1:7" ht="27.75" customHeight="1">
      <c r="A59" s="1">
        <v>57</v>
      </c>
      <c r="B59" s="1" t="str">
        <f t="shared" si="5"/>
        <v>经济数学学院</v>
      </c>
      <c r="C59" s="1" t="str">
        <f>"数学建模与数学实验"</f>
        <v>数学建模与数学实验</v>
      </c>
      <c r="D59" s="1" t="str">
        <f>"专业方向课"</f>
        <v>专业方向课</v>
      </c>
      <c r="E59" s="1" t="str">
        <f>"孙云龙"</f>
        <v>孙云龙</v>
      </c>
      <c r="F59" s="1" t="str">
        <f>"尹亚华"</f>
        <v>尹亚华</v>
      </c>
      <c r="G59" s="1" t="str">
        <f>"116020204044"</f>
        <v>116020204044</v>
      </c>
    </row>
    <row r="60" spans="1:7" ht="27.75" customHeight="1">
      <c r="A60" s="1">
        <v>58</v>
      </c>
      <c r="B60" s="1" t="str">
        <f t="shared" si="5"/>
        <v>经济数学学院</v>
      </c>
      <c r="C60" s="1" t="str">
        <f>"数学建模与数学实验"</f>
        <v>数学建模与数学实验</v>
      </c>
      <c r="D60" s="1" t="str">
        <f>"专业必修课"</f>
        <v>专业必修课</v>
      </c>
      <c r="E60" s="1" t="str">
        <f>"孙云龙"</f>
        <v>孙云龙</v>
      </c>
      <c r="F60" s="1" t="str">
        <f>"兰子君"</f>
        <v>兰子君</v>
      </c>
      <c r="G60" s="1" t="str">
        <f>"217020104013"</f>
        <v>217020104013</v>
      </c>
    </row>
    <row r="61" spans="1:7" ht="27.75" customHeight="1">
      <c r="A61" s="1">
        <v>59</v>
      </c>
      <c r="B61" s="1" t="str">
        <f t="shared" si="5"/>
        <v>经济数学学院</v>
      </c>
      <c r="C61" s="1" t="str">
        <f>"数学建模与数学实验"</f>
        <v>数学建模与数学实验</v>
      </c>
      <c r="D61" s="1" t="str">
        <f>"专业方向课"</f>
        <v>专业方向课</v>
      </c>
      <c r="E61" s="1" t="str">
        <f>"孙云龙"</f>
        <v>孙云龙</v>
      </c>
      <c r="F61" s="1" t="str">
        <f>"魏孟欣"</f>
        <v>魏孟欣</v>
      </c>
      <c r="G61" s="1" t="str">
        <f>"117020204030"</f>
        <v>117020204030</v>
      </c>
    </row>
    <row r="62" spans="1:7" ht="27.75" customHeight="1">
      <c r="A62" s="1">
        <v>60</v>
      </c>
      <c r="B62" s="1" t="str">
        <f t="shared" si="5"/>
        <v>经济数学学院</v>
      </c>
      <c r="C62" s="1" t="str">
        <f>"高等数学Ⅱ"</f>
        <v>高等数学Ⅱ</v>
      </c>
      <c r="D62" s="1" t="str">
        <f>"专业必修课"</f>
        <v>专业必修课</v>
      </c>
      <c r="E62" s="1" t="str">
        <f>"冯保伟"</f>
        <v>冯保伟</v>
      </c>
      <c r="F62" s="1" t="str">
        <f>"赵萍萍"</f>
        <v>赵萍萍</v>
      </c>
      <c r="G62" s="1" t="str">
        <f>"1180202Z1012"</f>
        <v>1180202Z1012</v>
      </c>
    </row>
    <row r="63" spans="1:7" ht="27.75" customHeight="1">
      <c r="A63" s="1">
        <v>61</v>
      </c>
      <c r="B63" s="1" t="str">
        <f t="shared" si="5"/>
        <v>经济数学学院</v>
      </c>
      <c r="C63" s="1" t="str">
        <f>"高等数学Ⅱ"</f>
        <v>高等数学Ⅱ</v>
      </c>
      <c r="D63" s="1" t="str">
        <f>"通识基础课"</f>
        <v>通识基础课</v>
      </c>
      <c r="E63" s="1" t="str">
        <f>"冯保伟"</f>
        <v>冯保伟</v>
      </c>
      <c r="F63" s="1" t="str">
        <f>"肖超"</f>
        <v>肖超</v>
      </c>
      <c r="G63" s="1" t="str">
        <f>"1180202Z2001"</f>
        <v>1180202Z2001</v>
      </c>
    </row>
    <row r="64" spans="1:7" ht="27.75" customHeight="1">
      <c r="A64" s="1">
        <v>62</v>
      </c>
      <c r="B64" s="1" t="str">
        <f t="shared" si="5"/>
        <v>经济数学学院</v>
      </c>
      <c r="C64" s="1" t="str">
        <f>"金融随机分析Ⅱ"</f>
        <v>金融随机分析Ⅱ</v>
      </c>
      <c r="D64" s="1" t="str">
        <f>"专业方向课"</f>
        <v>专业方向课</v>
      </c>
      <c r="E64" s="1" t="str">
        <f>"梁浩"</f>
        <v>梁浩</v>
      </c>
      <c r="F64" s="1" t="str">
        <f>"郝文静"</f>
        <v>郝文静</v>
      </c>
      <c r="G64" s="1" t="str">
        <f>"1190202Z1012"</f>
        <v>1190202Z1012</v>
      </c>
    </row>
    <row r="65" spans="1:7" ht="27.75" customHeight="1">
      <c r="A65" s="1">
        <v>63</v>
      </c>
      <c r="B65" s="1" t="str">
        <f t="shared" si="5"/>
        <v>经济数学学院</v>
      </c>
      <c r="C65" s="1" t="str">
        <f>"金融随机分析Ⅱ"</f>
        <v>金融随机分析Ⅱ</v>
      </c>
      <c r="D65" s="1" t="str">
        <f>"专业方向课"</f>
        <v>专业方向课</v>
      </c>
      <c r="E65" s="1" t="str">
        <f>"梁浩"</f>
        <v>梁浩</v>
      </c>
      <c r="F65" s="1" t="str">
        <f>"李大海"</f>
        <v>李大海</v>
      </c>
      <c r="G65" s="1" t="str">
        <f>"1180202Z1010"</f>
        <v>1180202Z1010</v>
      </c>
    </row>
    <row r="66" spans="1:7" ht="27.75" customHeight="1">
      <c r="A66" s="1">
        <v>64</v>
      </c>
      <c r="B66" s="1" t="str">
        <f t="shared" si="5"/>
        <v>经济数学学院</v>
      </c>
      <c r="C66" s="1" t="str">
        <f>"高等数学Ⅱ"</f>
        <v>高等数学Ⅱ</v>
      </c>
      <c r="D66" s="1" t="str">
        <f>"通识基础课"</f>
        <v>通识基础课</v>
      </c>
      <c r="E66" s="1" t="str">
        <f>"曾嵘"</f>
        <v>曾嵘</v>
      </c>
      <c r="F66" s="1" t="str">
        <f>"蔡鹏"</f>
        <v>蔡鹏</v>
      </c>
      <c r="G66" s="1" t="str">
        <f>"219120100017"</f>
        <v>219120100017</v>
      </c>
    </row>
    <row r="67" spans="1:7" ht="27.75" customHeight="1">
      <c r="A67" s="1">
        <v>65</v>
      </c>
      <c r="B67" s="1" t="str">
        <f t="shared" si="5"/>
        <v>经济数学学院</v>
      </c>
      <c r="C67" s="1" t="str">
        <f>"高等数学Ⅱ"</f>
        <v>高等数学Ⅱ</v>
      </c>
      <c r="D67" s="1" t="str">
        <f>"自由选修课"</f>
        <v>自由选修课</v>
      </c>
      <c r="E67" s="1" t="str">
        <f>"曾嵘"</f>
        <v>曾嵘</v>
      </c>
      <c r="F67" s="1" t="str">
        <f>"黄君"</f>
        <v>黄君</v>
      </c>
      <c r="G67" s="1" t="str">
        <f>"117020204012"</f>
        <v>117020204012</v>
      </c>
    </row>
    <row r="68" spans="1:7" ht="27.75" customHeight="1">
      <c r="A68" s="1">
        <v>66</v>
      </c>
      <c r="B68" s="1" t="str">
        <f t="shared" si="5"/>
        <v>经济数学学院</v>
      </c>
      <c r="C68" s="1" t="str">
        <f>"概率论（理科）"</f>
        <v>概率论（理科）</v>
      </c>
      <c r="D68" s="1" t="str">
        <f aca="true" t="shared" si="9" ref="D68:D86">"通识基础课"</f>
        <v>通识基础课</v>
      </c>
      <c r="E68" s="1" t="str">
        <f>"白淑敏"</f>
        <v>白淑敏</v>
      </c>
      <c r="F68" s="1" t="str">
        <f>"张九龙"</f>
        <v>张九龙</v>
      </c>
      <c r="G68" s="1" t="str">
        <f>"1181201Z5006"</f>
        <v>1181201Z5006</v>
      </c>
    </row>
    <row r="69" spans="1:7" ht="27.75" customHeight="1">
      <c r="A69" s="1">
        <v>67</v>
      </c>
      <c r="B69" s="1" t="str">
        <f t="shared" si="5"/>
        <v>经济数学学院</v>
      </c>
      <c r="C69" s="1" t="str">
        <f>"概率论（理科）"</f>
        <v>概率论（理科）</v>
      </c>
      <c r="D69" s="1" t="str">
        <f t="shared" si="9"/>
        <v>通识基础课</v>
      </c>
      <c r="E69" s="1" t="str">
        <f>"白淑敏"</f>
        <v>白淑敏</v>
      </c>
      <c r="F69" s="1" t="str">
        <f>"何家璇"</f>
        <v>何家璇</v>
      </c>
      <c r="G69" s="1" t="str">
        <f>"2180202Z2052"</f>
        <v>2180202Z2052</v>
      </c>
    </row>
    <row r="70" spans="1:7" ht="27.75" customHeight="1">
      <c r="A70" s="1">
        <v>68</v>
      </c>
      <c r="B70" s="1" t="str">
        <f t="shared" si="5"/>
        <v>经济数学学院</v>
      </c>
      <c r="C70" s="1" t="str">
        <f>"高等代数Ⅱ"</f>
        <v>高等代数Ⅱ</v>
      </c>
      <c r="D70" s="1" t="str">
        <f t="shared" si="9"/>
        <v>通识基础课</v>
      </c>
      <c r="E70" s="1" t="str">
        <f>"樊胜"</f>
        <v>樊胜</v>
      </c>
      <c r="F70" s="1" t="str">
        <f>"程乾"</f>
        <v>程乾</v>
      </c>
      <c r="G70" s="1" t="str">
        <f>"2180202Z1016"</f>
        <v>2180202Z1016</v>
      </c>
    </row>
    <row r="71" spans="1:7" ht="27.75" customHeight="1">
      <c r="A71" s="1">
        <v>69</v>
      </c>
      <c r="B71" s="1" t="str">
        <f t="shared" si="5"/>
        <v>经济数学学院</v>
      </c>
      <c r="C71" s="1" t="str">
        <f>"高等代数Ⅱ"</f>
        <v>高等代数Ⅱ</v>
      </c>
      <c r="D71" s="1" t="str">
        <f t="shared" si="9"/>
        <v>通识基础课</v>
      </c>
      <c r="E71" s="1" t="str">
        <f>"樊胜"</f>
        <v>樊胜</v>
      </c>
      <c r="F71" s="1" t="str">
        <f>"熊智临"</f>
        <v>熊智临</v>
      </c>
      <c r="G71" s="1" t="str">
        <f>"219020208024"</f>
        <v>219020208024</v>
      </c>
    </row>
    <row r="72" spans="1:7" ht="27.75" customHeight="1">
      <c r="A72" s="1">
        <v>70</v>
      </c>
      <c r="B72" s="1" t="str">
        <f t="shared" si="5"/>
        <v>经济数学学院</v>
      </c>
      <c r="C72" s="1" t="str">
        <f>"高等代数Ⅱ"</f>
        <v>高等代数Ⅱ</v>
      </c>
      <c r="D72" s="1" t="str">
        <f t="shared" si="9"/>
        <v>通识基础课</v>
      </c>
      <c r="E72" s="1" t="str">
        <f>"樊胜"</f>
        <v>樊胜</v>
      </c>
      <c r="F72" s="1" t="str">
        <f>"王苒郦"</f>
        <v>王苒郦</v>
      </c>
      <c r="G72" s="1" t="str">
        <f>"2180202Z1007"</f>
        <v>2180202Z1007</v>
      </c>
    </row>
    <row r="73" spans="1:7" ht="27.75" customHeight="1">
      <c r="A73" s="1">
        <v>71</v>
      </c>
      <c r="B73" s="1" t="str">
        <f aca="true" t="shared" si="10" ref="B73:B104">"经济数学学院"</f>
        <v>经济数学学院</v>
      </c>
      <c r="C73" s="1" t="str">
        <f>"高等代数Ⅱ"</f>
        <v>高等代数Ⅱ</v>
      </c>
      <c r="D73" s="1" t="str">
        <f t="shared" si="9"/>
        <v>通识基础课</v>
      </c>
      <c r="E73" s="1" t="str">
        <f>"樊胜"</f>
        <v>樊胜</v>
      </c>
      <c r="F73" s="1" t="str">
        <f>"刘航"</f>
        <v>刘航</v>
      </c>
      <c r="G73" s="1" t="str">
        <f>"1190202J8001"</f>
        <v>1190202J8001</v>
      </c>
    </row>
    <row r="74" spans="1:7" ht="27.75" customHeight="1">
      <c r="A74" s="1">
        <v>72</v>
      </c>
      <c r="B74" s="1" t="str">
        <f t="shared" si="10"/>
        <v>经济数学学院</v>
      </c>
      <c r="C74" s="1" t="str">
        <f>"概率论（理科）"</f>
        <v>概率论（理科）</v>
      </c>
      <c r="D74" s="1" t="str">
        <f t="shared" si="9"/>
        <v>通识基础课</v>
      </c>
      <c r="E74" s="1" t="str">
        <f>"吴萌"</f>
        <v>吴萌</v>
      </c>
      <c r="F74" s="1" t="str">
        <f>"刘聪"</f>
        <v>刘聪</v>
      </c>
      <c r="G74" s="1" t="str">
        <f>"2180202Z1006"</f>
        <v>2180202Z1006</v>
      </c>
    </row>
    <row r="75" spans="1:7" ht="27.75" customHeight="1">
      <c r="A75" s="1">
        <v>73</v>
      </c>
      <c r="B75" s="1" t="str">
        <f t="shared" si="10"/>
        <v>经济数学学院</v>
      </c>
      <c r="C75" s="1" t="str">
        <f>"概率论（理科）"</f>
        <v>概率论（理科）</v>
      </c>
      <c r="D75" s="1" t="str">
        <f t="shared" si="9"/>
        <v>通识基础课</v>
      </c>
      <c r="E75" s="1" t="str">
        <f>"吴萌"</f>
        <v>吴萌</v>
      </c>
      <c r="F75" s="1" t="str">
        <f>"胡先全"</f>
        <v>胡先全</v>
      </c>
      <c r="G75" s="1" t="str">
        <f>"2180202Z1002"</f>
        <v>2180202Z1002</v>
      </c>
    </row>
    <row r="76" spans="1:7" ht="27.75" customHeight="1">
      <c r="A76" s="1">
        <v>74</v>
      </c>
      <c r="B76" s="1" t="str">
        <f t="shared" si="10"/>
        <v>经济数学学院</v>
      </c>
      <c r="C76" s="1" t="str">
        <f>"概率论（理科）"</f>
        <v>概率论（理科）</v>
      </c>
      <c r="D76" s="1" t="str">
        <f t="shared" si="9"/>
        <v>通识基础课</v>
      </c>
      <c r="E76" s="1" t="str">
        <f>"吴萌"</f>
        <v>吴萌</v>
      </c>
      <c r="F76" s="1" t="str">
        <f>"王梦函"</f>
        <v>王梦函</v>
      </c>
      <c r="G76" s="1" t="str">
        <f>"117020205001"</f>
        <v>117020205001</v>
      </c>
    </row>
    <row r="77" spans="1:7" ht="27.75" customHeight="1">
      <c r="A77" s="1">
        <v>75</v>
      </c>
      <c r="B77" s="1" t="str">
        <f t="shared" si="10"/>
        <v>经济数学学院</v>
      </c>
      <c r="C77" s="1" t="str">
        <f>"概率论（理科）"</f>
        <v>概率论（理科）</v>
      </c>
      <c r="D77" s="1" t="str">
        <f t="shared" si="9"/>
        <v>通识基础课</v>
      </c>
      <c r="E77" s="1" t="str">
        <f>"吴萌"</f>
        <v>吴萌</v>
      </c>
      <c r="F77" s="1" t="str">
        <f>"王新宇"</f>
        <v>王新宇</v>
      </c>
      <c r="G77" s="1" t="str">
        <f>"218120202030"</f>
        <v>218120202030</v>
      </c>
    </row>
    <row r="78" spans="1:7" ht="27.75" customHeight="1">
      <c r="A78" s="1">
        <v>76</v>
      </c>
      <c r="B78" s="1" t="str">
        <f t="shared" si="10"/>
        <v>经济数学学院</v>
      </c>
      <c r="C78" s="1" t="str">
        <f>"高等数学Ⅱ"</f>
        <v>高等数学Ⅱ</v>
      </c>
      <c r="D78" s="1" t="str">
        <f t="shared" si="9"/>
        <v>通识基础课</v>
      </c>
      <c r="E78" s="1" t="str">
        <f>"王开弘"</f>
        <v>王开弘</v>
      </c>
      <c r="F78" s="1" t="str">
        <f>"段婷"</f>
        <v>段婷</v>
      </c>
      <c r="G78" s="1" t="str">
        <f>"2191202Z9018"</f>
        <v>2191202Z9018</v>
      </c>
    </row>
    <row r="79" spans="1:7" ht="27.75" customHeight="1">
      <c r="A79" s="1">
        <v>77</v>
      </c>
      <c r="B79" s="1" t="str">
        <f t="shared" si="10"/>
        <v>经济数学学院</v>
      </c>
      <c r="C79" s="1" t="str">
        <f>"高等数学Ⅱ"</f>
        <v>高等数学Ⅱ</v>
      </c>
      <c r="D79" s="1" t="str">
        <f t="shared" si="9"/>
        <v>通识基础课</v>
      </c>
      <c r="E79" s="1" t="str">
        <f>"王开弘"</f>
        <v>王开弘</v>
      </c>
      <c r="F79" s="1" t="str">
        <f>"周钻究"</f>
        <v>周钻究</v>
      </c>
      <c r="G79" s="1" t="str">
        <f>"117020205002"</f>
        <v>117020205002</v>
      </c>
    </row>
    <row r="80" spans="1:7" ht="27.75" customHeight="1">
      <c r="A80" s="1">
        <v>78</v>
      </c>
      <c r="B80" s="1" t="str">
        <f t="shared" si="10"/>
        <v>经济数学学院</v>
      </c>
      <c r="C80" s="1" t="str">
        <f>"数学分析Ⅱ（理科）"</f>
        <v>数学分析Ⅱ（理科）</v>
      </c>
      <c r="D80" s="1" t="str">
        <f t="shared" si="9"/>
        <v>通识基础课</v>
      </c>
      <c r="E80" s="1" t="str">
        <f>"李捷"</f>
        <v>李捷</v>
      </c>
      <c r="F80" s="1" t="str">
        <f>"王子淳"</f>
        <v>王子淳</v>
      </c>
      <c r="G80" s="1" t="str">
        <f>"119120100003"</f>
        <v>119120100003</v>
      </c>
    </row>
    <row r="81" spans="1:7" ht="27.75" customHeight="1">
      <c r="A81" s="1">
        <v>79</v>
      </c>
      <c r="B81" s="1" t="str">
        <f t="shared" si="10"/>
        <v>经济数学学院</v>
      </c>
      <c r="C81" s="1" t="str">
        <f>"数学分析Ⅱ（理科）"</f>
        <v>数学分析Ⅱ（理科）</v>
      </c>
      <c r="D81" s="1" t="str">
        <f t="shared" si="9"/>
        <v>通识基础课</v>
      </c>
      <c r="E81" s="1" t="str">
        <f>"李捷"</f>
        <v>李捷</v>
      </c>
      <c r="F81" s="1" t="str">
        <f>"吴宇佳"</f>
        <v>吴宇佳</v>
      </c>
      <c r="G81" s="1" t="str">
        <f>"218020208010"</f>
        <v>218020208010</v>
      </c>
    </row>
    <row r="82" spans="1:7" ht="27.75" customHeight="1">
      <c r="A82" s="1">
        <v>80</v>
      </c>
      <c r="B82" s="1" t="str">
        <f t="shared" si="10"/>
        <v>经济数学学院</v>
      </c>
      <c r="C82" s="1" t="str">
        <f>"数学分析Ⅱ（理科）"</f>
        <v>数学分析Ⅱ（理科）</v>
      </c>
      <c r="D82" s="1" t="str">
        <f t="shared" si="9"/>
        <v>通识基础课</v>
      </c>
      <c r="E82" s="1" t="str">
        <f>"黎伟"</f>
        <v>黎伟</v>
      </c>
      <c r="F82" s="1" t="str">
        <f>"高宏"</f>
        <v>高宏</v>
      </c>
      <c r="G82" s="1" t="str">
        <f>"218020208023"</f>
        <v>218020208023</v>
      </c>
    </row>
    <row r="83" spans="1:7" ht="27.75" customHeight="1">
      <c r="A83" s="1">
        <v>81</v>
      </c>
      <c r="B83" s="1" t="str">
        <f t="shared" si="10"/>
        <v>经济数学学院</v>
      </c>
      <c r="C83" s="1" t="str">
        <f>"数学分析Ⅱ（理科）"</f>
        <v>数学分析Ⅱ（理科）</v>
      </c>
      <c r="D83" s="1" t="str">
        <f t="shared" si="9"/>
        <v>通识基础课</v>
      </c>
      <c r="E83" s="1" t="str">
        <f>"黎伟"</f>
        <v>黎伟</v>
      </c>
      <c r="F83" s="1" t="str">
        <f>"曾天"</f>
        <v>曾天</v>
      </c>
      <c r="G83" s="1" t="str">
        <f>"1181202Z6005"</f>
        <v>1181202Z6005</v>
      </c>
    </row>
    <row r="84" spans="1:7" ht="27.75" customHeight="1">
      <c r="A84" s="1">
        <v>82</v>
      </c>
      <c r="B84" s="1" t="str">
        <f t="shared" si="10"/>
        <v>经济数学学院</v>
      </c>
      <c r="C84" s="1" t="str">
        <f aca="true" t="shared" si="11" ref="C84:C89">"高等数学Ⅱ"</f>
        <v>高等数学Ⅱ</v>
      </c>
      <c r="D84" s="1" t="str">
        <f t="shared" si="9"/>
        <v>通识基础课</v>
      </c>
      <c r="E84" s="1" t="str">
        <f>"梁之磊"</f>
        <v>梁之磊</v>
      </c>
      <c r="F84" s="1" t="str">
        <f>"帅江羽"</f>
        <v>帅江羽</v>
      </c>
      <c r="G84" s="1" t="str">
        <f>"217070100003"</f>
        <v>217070100003</v>
      </c>
    </row>
    <row r="85" spans="1:7" ht="27.75" customHeight="1">
      <c r="A85" s="1">
        <v>83</v>
      </c>
      <c r="B85" s="1" t="str">
        <f t="shared" si="10"/>
        <v>经济数学学院</v>
      </c>
      <c r="C85" s="1" t="str">
        <f t="shared" si="11"/>
        <v>高等数学Ⅱ</v>
      </c>
      <c r="D85" s="1" t="str">
        <f t="shared" si="9"/>
        <v>通识基础课</v>
      </c>
      <c r="E85" s="1" t="str">
        <f>"梁之磊"</f>
        <v>梁之磊</v>
      </c>
      <c r="F85" s="1" t="str">
        <f>"郑伟"</f>
        <v>郑伟</v>
      </c>
      <c r="G85" s="1" t="str">
        <f>"219070100002"</f>
        <v>219070100002</v>
      </c>
    </row>
    <row r="86" spans="1:7" ht="27.75" customHeight="1">
      <c r="A86" s="1">
        <v>84</v>
      </c>
      <c r="B86" s="1" t="str">
        <f t="shared" si="10"/>
        <v>经济数学学院</v>
      </c>
      <c r="C86" s="1" t="str">
        <f t="shared" si="11"/>
        <v>高等数学Ⅱ</v>
      </c>
      <c r="D86" s="1" t="str">
        <f t="shared" si="9"/>
        <v>通识基础课</v>
      </c>
      <c r="E86" s="1" t="str">
        <f>"林一丁"</f>
        <v>林一丁</v>
      </c>
      <c r="F86" s="1" t="str">
        <f>"陈莹之"</f>
        <v>陈莹之</v>
      </c>
      <c r="G86" s="1" t="str">
        <f>"219020101001"</f>
        <v>219020101001</v>
      </c>
    </row>
    <row r="87" spans="1:7" ht="27.75" customHeight="1">
      <c r="A87" s="1">
        <v>85</v>
      </c>
      <c r="B87" s="1" t="str">
        <f t="shared" si="10"/>
        <v>经济数学学院</v>
      </c>
      <c r="C87" s="1" t="str">
        <f t="shared" si="11"/>
        <v>高等数学Ⅱ</v>
      </c>
      <c r="D87" s="1" t="str">
        <f>"大学科基础课"</f>
        <v>大学科基础课</v>
      </c>
      <c r="E87" s="1" t="str">
        <f>"林一丁"</f>
        <v>林一丁</v>
      </c>
      <c r="F87" s="1" t="str">
        <f>"仵程宽"</f>
        <v>仵程宽</v>
      </c>
      <c r="G87" s="1" t="str">
        <f>"118020201003"</f>
        <v>118020201003</v>
      </c>
    </row>
    <row r="88" spans="1:7" ht="27.75" customHeight="1">
      <c r="A88" s="1">
        <v>86</v>
      </c>
      <c r="B88" s="1" t="str">
        <f t="shared" si="10"/>
        <v>经济数学学院</v>
      </c>
      <c r="C88" s="1" t="str">
        <f t="shared" si="11"/>
        <v>高等数学Ⅱ</v>
      </c>
      <c r="D88" s="1" t="str">
        <f aca="true" t="shared" si="12" ref="D88:D104">"通识基础课"</f>
        <v>通识基础课</v>
      </c>
      <c r="E88" s="1" t="str">
        <f>"王磊"</f>
        <v>王磊</v>
      </c>
      <c r="F88" s="1" t="str">
        <f>"赵棚"</f>
        <v>赵棚</v>
      </c>
      <c r="G88" s="1" t="str">
        <f>"2180202Z1017"</f>
        <v>2180202Z1017</v>
      </c>
    </row>
    <row r="89" spans="1:7" ht="27.75" customHeight="1">
      <c r="A89" s="1">
        <v>87</v>
      </c>
      <c r="B89" s="1" t="str">
        <f t="shared" si="10"/>
        <v>经济数学学院</v>
      </c>
      <c r="C89" s="1" t="str">
        <f t="shared" si="11"/>
        <v>高等数学Ⅱ</v>
      </c>
      <c r="D89" s="1" t="str">
        <f t="shared" si="12"/>
        <v>通识基础课</v>
      </c>
      <c r="E89" s="1" t="str">
        <f>"王磊"</f>
        <v>王磊</v>
      </c>
      <c r="F89" s="1" t="str">
        <f>"梁情文"</f>
        <v>梁情文</v>
      </c>
      <c r="G89" s="1" t="str">
        <f>"1191202Z6002"</f>
        <v>1191202Z6002</v>
      </c>
    </row>
    <row r="90" spans="1:7" ht="27.75" customHeight="1">
      <c r="A90" s="1">
        <v>88</v>
      </c>
      <c r="B90" s="1" t="str">
        <f t="shared" si="10"/>
        <v>经济数学学院</v>
      </c>
      <c r="C90" s="1" t="str">
        <f>"高等代数Ⅰ"</f>
        <v>高等代数Ⅰ</v>
      </c>
      <c r="D90" s="1" t="str">
        <f t="shared" si="12"/>
        <v>通识基础课</v>
      </c>
      <c r="E90" s="1" t="str">
        <f>"孙疆明"</f>
        <v>孙疆明</v>
      </c>
      <c r="F90" s="1" t="str">
        <f>"蔡雨"</f>
        <v>蔡雨</v>
      </c>
      <c r="G90" s="1" t="str">
        <f>"2180202Z1023"</f>
        <v>2180202Z1023</v>
      </c>
    </row>
    <row r="91" spans="1:7" ht="27.75" customHeight="1">
      <c r="A91" s="1">
        <v>89</v>
      </c>
      <c r="B91" s="1" t="str">
        <f t="shared" si="10"/>
        <v>经济数学学院</v>
      </c>
      <c r="C91" s="1" t="str">
        <f>"高等代数Ⅰ"</f>
        <v>高等代数Ⅰ</v>
      </c>
      <c r="D91" s="1" t="str">
        <f t="shared" si="12"/>
        <v>通识基础课</v>
      </c>
      <c r="E91" s="1" t="str">
        <f>"孙疆明"</f>
        <v>孙疆明</v>
      </c>
      <c r="F91" s="1" t="str">
        <f>"易荷玲"</f>
        <v>易荷玲</v>
      </c>
      <c r="G91" s="1" t="str">
        <f>"2180202Z1025"</f>
        <v>2180202Z1025</v>
      </c>
    </row>
    <row r="92" spans="1:7" ht="27.75" customHeight="1">
      <c r="A92" s="1">
        <v>90</v>
      </c>
      <c r="B92" s="1" t="str">
        <f t="shared" si="10"/>
        <v>经济数学学院</v>
      </c>
      <c r="C92" s="1" t="str">
        <f>"概率论（理科）"</f>
        <v>概率论（理科）</v>
      </c>
      <c r="D92" s="1" t="str">
        <f t="shared" si="12"/>
        <v>通识基础课</v>
      </c>
      <c r="E92" s="1" t="str">
        <f>"马捷"</f>
        <v>马捷</v>
      </c>
      <c r="F92" s="1" t="str">
        <f>"史争光"</f>
        <v>史争光</v>
      </c>
      <c r="G92" s="1" t="str">
        <f>"117020291001"</f>
        <v>117020291001</v>
      </c>
    </row>
    <row r="93" spans="1:7" ht="27.75" customHeight="1">
      <c r="A93" s="1">
        <v>91</v>
      </c>
      <c r="B93" s="1" t="str">
        <f t="shared" si="10"/>
        <v>经济数学学院</v>
      </c>
      <c r="C93" s="1" t="str">
        <f>"概率论（理科）"</f>
        <v>概率论（理科）</v>
      </c>
      <c r="D93" s="1" t="str">
        <f t="shared" si="12"/>
        <v>通识基础课</v>
      </c>
      <c r="E93" s="1" t="str">
        <f>"马捷"</f>
        <v>马捷</v>
      </c>
      <c r="F93" s="1" t="str">
        <f>"罗雪梅"</f>
        <v>罗雪梅</v>
      </c>
      <c r="G93" s="1" t="str">
        <f>"117020291006"</f>
        <v>117020291006</v>
      </c>
    </row>
    <row r="94" spans="1:7" ht="27.75" customHeight="1">
      <c r="A94" s="1">
        <v>92</v>
      </c>
      <c r="B94" s="1" t="str">
        <f t="shared" si="10"/>
        <v>经济数学学院</v>
      </c>
      <c r="C94" s="1" t="str">
        <f>"概率论（理科）"</f>
        <v>概率论（理科）</v>
      </c>
      <c r="D94" s="1" t="str">
        <f t="shared" si="12"/>
        <v>通识基础课</v>
      </c>
      <c r="E94" s="1" t="str">
        <f>"黄文毅"</f>
        <v>黄文毅</v>
      </c>
      <c r="F94" s="1" t="str">
        <f>"钟清枝"</f>
        <v>钟清枝</v>
      </c>
      <c r="G94" s="1" t="str">
        <f>"116020208002"</f>
        <v>116020208002</v>
      </c>
    </row>
    <row r="95" spans="1:7" ht="27.75" customHeight="1">
      <c r="A95" s="1">
        <v>93</v>
      </c>
      <c r="B95" s="1" t="str">
        <f t="shared" si="10"/>
        <v>经济数学学院</v>
      </c>
      <c r="C95" s="1" t="str">
        <f>"概率论（理科）"</f>
        <v>概率论（理科）</v>
      </c>
      <c r="D95" s="1" t="str">
        <f t="shared" si="12"/>
        <v>通识基础课</v>
      </c>
      <c r="E95" s="1" t="str">
        <f>"黄文毅"</f>
        <v>黄文毅</v>
      </c>
      <c r="F95" s="1" t="str">
        <f>"徐雍"</f>
        <v>徐雍</v>
      </c>
      <c r="G95" s="1" t="str">
        <f>"117120195004"</f>
        <v>117120195004</v>
      </c>
    </row>
    <row r="96" spans="1:7" ht="27.75" customHeight="1">
      <c r="A96" s="1">
        <v>94</v>
      </c>
      <c r="B96" s="1" t="str">
        <f t="shared" si="10"/>
        <v>经济数学学院</v>
      </c>
      <c r="C96" s="1" t="str">
        <f>"高等代数Ⅰ"</f>
        <v>高等代数Ⅰ</v>
      </c>
      <c r="D96" s="1" t="str">
        <f t="shared" si="12"/>
        <v>通识基础课</v>
      </c>
      <c r="E96" s="1" t="str">
        <f>"吴曦"</f>
        <v>吴曦</v>
      </c>
      <c r="F96" s="1" t="str">
        <f>"雍谦"</f>
        <v>雍谦</v>
      </c>
      <c r="G96" s="1" t="str">
        <f>"219070100011"</f>
        <v>219070100011</v>
      </c>
    </row>
    <row r="97" spans="1:7" ht="27.75" customHeight="1">
      <c r="A97" s="1">
        <v>95</v>
      </c>
      <c r="B97" s="1" t="str">
        <f t="shared" si="10"/>
        <v>经济数学学院</v>
      </c>
      <c r="C97" s="1" t="str">
        <f>"高等代数Ⅰ"</f>
        <v>高等代数Ⅰ</v>
      </c>
      <c r="D97" s="1" t="str">
        <f t="shared" si="12"/>
        <v>通识基础课</v>
      </c>
      <c r="E97" s="1" t="str">
        <f>"吴曦"</f>
        <v>吴曦</v>
      </c>
      <c r="F97" s="1" t="str">
        <f>"徐媛"</f>
        <v>徐媛</v>
      </c>
      <c r="G97" s="1" t="str">
        <f>"219020101003"</f>
        <v>219020101003</v>
      </c>
    </row>
    <row r="98" spans="1:7" ht="27.75" customHeight="1">
      <c r="A98" s="1">
        <v>96</v>
      </c>
      <c r="B98" s="1" t="str">
        <f t="shared" si="10"/>
        <v>经济数学学院</v>
      </c>
      <c r="C98" s="1" t="str">
        <f>"高等代数Ⅰ"</f>
        <v>高等代数Ⅰ</v>
      </c>
      <c r="D98" s="1" t="str">
        <f t="shared" si="12"/>
        <v>通识基础课</v>
      </c>
      <c r="E98" s="1" t="str">
        <f>"吴曦"</f>
        <v>吴曦</v>
      </c>
      <c r="F98" s="1" t="str">
        <f>"石翔燕"</f>
        <v>石翔燕</v>
      </c>
      <c r="G98" s="1" t="str">
        <f>"117120201004"</f>
        <v>117120201004</v>
      </c>
    </row>
    <row r="99" spans="1:7" ht="27.75" customHeight="1">
      <c r="A99" s="1">
        <v>97</v>
      </c>
      <c r="B99" s="1" t="str">
        <f t="shared" si="10"/>
        <v>经济数学学院</v>
      </c>
      <c r="C99" s="1" t="str">
        <f>"高等代数Ⅰ"</f>
        <v>高等代数Ⅰ</v>
      </c>
      <c r="D99" s="1" t="str">
        <f t="shared" si="12"/>
        <v>通识基础课</v>
      </c>
      <c r="E99" s="1" t="str">
        <f>"吴曦"</f>
        <v>吴曦</v>
      </c>
      <c r="F99" s="1" t="str">
        <f>"卫村"</f>
        <v>卫村</v>
      </c>
      <c r="G99" s="1" t="str">
        <f>"119120100001"</f>
        <v>119120100001</v>
      </c>
    </row>
    <row r="100" spans="1:7" ht="27.75" customHeight="1">
      <c r="A100" s="1">
        <v>98</v>
      </c>
      <c r="B100" s="1" t="str">
        <f t="shared" si="10"/>
        <v>经济数学学院</v>
      </c>
      <c r="C100" s="1" t="str">
        <f>"数学分析Ⅱ（理科）"</f>
        <v>数学分析Ⅱ（理科）</v>
      </c>
      <c r="D100" s="1" t="str">
        <f t="shared" si="12"/>
        <v>通识基础课</v>
      </c>
      <c r="E100" s="1" t="str">
        <f>"陈小平"</f>
        <v>陈小平</v>
      </c>
      <c r="F100" s="1" t="str">
        <f>"张天伦"</f>
        <v>张天伦</v>
      </c>
      <c r="G100" s="1" t="str">
        <f>"1180202Z2004"</f>
        <v>1180202Z2004</v>
      </c>
    </row>
    <row r="101" spans="1:7" ht="27.75" customHeight="1">
      <c r="A101" s="1">
        <v>99</v>
      </c>
      <c r="B101" s="1" t="str">
        <f t="shared" si="10"/>
        <v>经济数学学院</v>
      </c>
      <c r="C101" s="1" t="str">
        <f>"数学分析Ⅱ（理科）"</f>
        <v>数学分析Ⅱ（理科）</v>
      </c>
      <c r="D101" s="1" t="str">
        <f t="shared" si="12"/>
        <v>通识基础课</v>
      </c>
      <c r="E101" s="1" t="str">
        <f>"陈小平"</f>
        <v>陈小平</v>
      </c>
      <c r="F101" s="1" t="str">
        <f>"陈登胜"</f>
        <v>陈登胜</v>
      </c>
      <c r="G101" s="1" t="str">
        <f>"1180202Z1005"</f>
        <v>1180202Z1005</v>
      </c>
    </row>
    <row r="102" spans="1:7" ht="27.75" customHeight="1">
      <c r="A102" s="1">
        <v>100</v>
      </c>
      <c r="B102" s="1" t="str">
        <f t="shared" si="10"/>
        <v>经济数学学院</v>
      </c>
      <c r="C102" s="1" t="str">
        <f>"概率论（理科）"</f>
        <v>概率论（理科）</v>
      </c>
      <c r="D102" s="1" t="str">
        <f t="shared" si="12"/>
        <v>通识基础课</v>
      </c>
      <c r="E102" s="1" t="str">
        <f>"吴小丹"</f>
        <v>吴小丹</v>
      </c>
      <c r="F102" s="1" t="str">
        <f>"王璐"</f>
        <v>王璐</v>
      </c>
      <c r="G102" s="1" t="str">
        <f>"119020201001"</f>
        <v>119020201001</v>
      </c>
    </row>
    <row r="103" spans="1:7" ht="27.75" customHeight="1">
      <c r="A103" s="1">
        <v>101</v>
      </c>
      <c r="B103" s="1" t="str">
        <f t="shared" si="10"/>
        <v>经济数学学院</v>
      </c>
      <c r="C103" s="1" t="str">
        <f>"概率论（理科）"</f>
        <v>概率论（理科）</v>
      </c>
      <c r="D103" s="1" t="str">
        <f t="shared" si="12"/>
        <v>通识基础课</v>
      </c>
      <c r="E103" s="1" t="str">
        <f>"吴小丹"</f>
        <v>吴小丹</v>
      </c>
      <c r="F103" s="1" t="str">
        <f>"荣思诗"</f>
        <v>荣思诗</v>
      </c>
      <c r="G103" s="1" t="str">
        <f>"117020203004"</f>
        <v>117020203004</v>
      </c>
    </row>
    <row r="104" spans="1:7" ht="27.75" customHeight="1">
      <c r="A104" s="1">
        <v>102</v>
      </c>
      <c r="B104" s="1" t="str">
        <f t="shared" si="10"/>
        <v>经济数学学院</v>
      </c>
      <c r="C104" s="1" t="str">
        <f>"概率论（理科）"</f>
        <v>概率论（理科）</v>
      </c>
      <c r="D104" s="1" t="str">
        <f t="shared" si="12"/>
        <v>通识基础课</v>
      </c>
      <c r="E104" s="1" t="str">
        <f>"陈善镇"</f>
        <v>陈善镇</v>
      </c>
      <c r="F104" s="1" t="str">
        <f>"王欢"</f>
        <v>王欢</v>
      </c>
      <c r="G104" s="1" t="str">
        <f>"2160202Z1010"</f>
        <v>2160202Z1010</v>
      </c>
    </row>
    <row r="105" spans="1:7" ht="27.75" customHeight="1">
      <c r="A105" s="1">
        <v>103</v>
      </c>
      <c r="B105" s="1" t="str">
        <f aca="true" t="shared" si="13" ref="B105:B136">"经济数学学院"</f>
        <v>经济数学学院</v>
      </c>
      <c r="C105" s="1" t="str">
        <f>"数理统计"</f>
        <v>数理统计</v>
      </c>
      <c r="D105" s="1" t="str">
        <f>"大学科基础课"</f>
        <v>大学科基础课</v>
      </c>
      <c r="E105" s="1" t="str">
        <f>"李绍文"</f>
        <v>李绍文</v>
      </c>
      <c r="F105" s="1" t="str">
        <f>"郑璋晔"</f>
        <v>郑璋晔</v>
      </c>
      <c r="G105" s="1" t="str">
        <f>"2190202Z1002"</f>
        <v>2190202Z1002</v>
      </c>
    </row>
    <row r="106" spans="1:7" ht="27.75" customHeight="1">
      <c r="A106" s="1">
        <v>104</v>
      </c>
      <c r="B106" s="1" t="str">
        <f t="shared" si="13"/>
        <v>经济数学学院</v>
      </c>
      <c r="C106" s="1" t="str">
        <f>"数理统计"</f>
        <v>数理统计</v>
      </c>
      <c r="D106" s="1" t="str">
        <f>"大学科基础课"</f>
        <v>大学科基础课</v>
      </c>
      <c r="E106" s="1" t="str">
        <f>"李绍文"</f>
        <v>李绍文</v>
      </c>
      <c r="F106" s="1" t="str">
        <f>"严钰童"</f>
        <v>严钰童</v>
      </c>
      <c r="G106" s="1" t="str">
        <f>"118120204003"</f>
        <v>118120204003</v>
      </c>
    </row>
    <row r="107" spans="1:7" ht="27.75" customHeight="1">
      <c r="A107" s="1">
        <v>105</v>
      </c>
      <c r="B107" s="1" t="str">
        <f t="shared" si="13"/>
        <v>经济数学学院</v>
      </c>
      <c r="C107" s="1" t="str">
        <f>"概率论（理科）"</f>
        <v>概率论（理科）</v>
      </c>
      <c r="D107" s="1" t="str">
        <f>"通识基础课"</f>
        <v>通识基础课</v>
      </c>
      <c r="E107" s="1" t="str">
        <f>"徐凤"</f>
        <v>徐凤</v>
      </c>
      <c r="F107" s="1" t="str">
        <f>"赵兴华"</f>
        <v>赵兴华</v>
      </c>
      <c r="G107" s="1" t="str">
        <f>"219071400010"</f>
        <v>219071400010</v>
      </c>
    </row>
    <row r="108" spans="1:7" ht="27.75" customHeight="1">
      <c r="A108" s="1">
        <v>106</v>
      </c>
      <c r="B108" s="1" t="str">
        <f t="shared" si="13"/>
        <v>经济数学学院</v>
      </c>
      <c r="C108" s="1" t="str">
        <f>"时间序列分析"</f>
        <v>时间序列分析</v>
      </c>
      <c r="D108" s="1" t="str">
        <f>"专业方向课"</f>
        <v>专业方向课</v>
      </c>
      <c r="E108" s="1" t="str">
        <f>"徐凤"</f>
        <v>徐凤</v>
      </c>
      <c r="F108" s="1" t="str">
        <f>"张奥阳"</f>
        <v>张奥阳</v>
      </c>
      <c r="G108" s="1" t="str">
        <f>"117020204007"</f>
        <v>117020204007</v>
      </c>
    </row>
    <row r="109" spans="1:7" ht="27.75" customHeight="1">
      <c r="A109" s="1">
        <v>107</v>
      </c>
      <c r="B109" s="1" t="str">
        <f t="shared" si="13"/>
        <v>经济数学学院</v>
      </c>
      <c r="C109" s="1" t="str">
        <f>"数学分析Ⅱ（理科）"</f>
        <v>数学分析Ⅱ（理科）</v>
      </c>
      <c r="D109" s="1" t="str">
        <f>"通识基础课"</f>
        <v>通识基础课</v>
      </c>
      <c r="E109" s="1" t="str">
        <f>"方敏"</f>
        <v>方敏</v>
      </c>
      <c r="F109" s="1" t="str">
        <f>"戴欣燃"</f>
        <v>戴欣燃</v>
      </c>
      <c r="G109" s="1" t="str">
        <f>"2190202Z1014"</f>
        <v>2190202Z1014</v>
      </c>
    </row>
    <row r="110" spans="1:7" ht="27.75" customHeight="1">
      <c r="A110" s="1">
        <v>108</v>
      </c>
      <c r="B110" s="1" t="str">
        <f t="shared" si="13"/>
        <v>经济数学学院</v>
      </c>
      <c r="C110" s="1" t="str">
        <f>"数学分析Ⅱ（理科）"</f>
        <v>数学分析Ⅱ（理科）</v>
      </c>
      <c r="D110" s="1" t="str">
        <f>"通识基础课"</f>
        <v>通识基础课</v>
      </c>
      <c r="E110" s="1" t="str">
        <f>"方敏"</f>
        <v>方敏</v>
      </c>
      <c r="F110" s="1" t="str">
        <f>"顾云"</f>
        <v>顾云</v>
      </c>
      <c r="G110" s="1" t="str">
        <f>"117020204018"</f>
        <v>117020204018</v>
      </c>
    </row>
    <row r="111" spans="1:7" ht="27.75" customHeight="1">
      <c r="A111" s="1">
        <v>109</v>
      </c>
      <c r="B111" s="1" t="str">
        <f t="shared" si="13"/>
        <v>经济数学学院</v>
      </c>
      <c r="C111" s="1" t="str">
        <f>"高等数学Ⅱ"</f>
        <v>高等数学Ⅱ</v>
      </c>
      <c r="D111" s="1" t="str">
        <f>"通识基础课"</f>
        <v>通识基础课</v>
      </c>
      <c r="E111" s="1" t="str">
        <f>"谢果"</f>
        <v>谢果</v>
      </c>
      <c r="F111" s="1" t="str">
        <f>"李柄柯"</f>
        <v>李柄柯</v>
      </c>
      <c r="G111" s="1" t="str">
        <f>"2190202Z8001"</f>
        <v>2190202Z8001</v>
      </c>
    </row>
    <row r="112" spans="1:7" ht="27.75" customHeight="1">
      <c r="A112" s="1">
        <v>110</v>
      </c>
      <c r="B112" s="1" t="str">
        <f t="shared" si="13"/>
        <v>经济数学学院</v>
      </c>
      <c r="C112" s="1" t="str">
        <f>"高等数学Ⅱ"</f>
        <v>高等数学Ⅱ</v>
      </c>
      <c r="D112" s="1" t="str">
        <f>"通识基础课"</f>
        <v>通识基础课</v>
      </c>
      <c r="E112" s="1" t="str">
        <f>"谢果"</f>
        <v>谢果</v>
      </c>
      <c r="F112" s="1" t="str">
        <f>"马魁壮"</f>
        <v>马魁壮</v>
      </c>
      <c r="G112" s="1" t="str">
        <f>"218120100018"</f>
        <v>218120100018</v>
      </c>
    </row>
    <row r="113" spans="1:7" ht="27.75" customHeight="1">
      <c r="A113" s="1">
        <v>111</v>
      </c>
      <c r="B113" s="1" t="str">
        <f t="shared" si="13"/>
        <v>经济数学学院</v>
      </c>
      <c r="C113" s="1" t="str">
        <f>"实变函数论"</f>
        <v>实变函数论</v>
      </c>
      <c r="D113" s="1" t="str">
        <f>"自由选修课"</f>
        <v>自由选修课</v>
      </c>
      <c r="E113" s="1" t="str">
        <f>"郭训香"</f>
        <v>郭训香</v>
      </c>
      <c r="F113" s="1" t="str">
        <f>"陈泳宏"</f>
        <v>陈泳宏</v>
      </c>
      <c r="G113" s="1" t="str">
        <f>"117020291005"</f>
        <v>117020291005</v>
      </c>
    </row>
    <row r="114" spans="1:7" ht="27.75" customHeight="1">
      <c r="A114" s="1">
        <v>112</v>
      </c>
      <c r="B114" s="1" t="str">
        <f t="shared" si="13"/>
        <v>经济数学学院</v>
      </c>
      <c r="C114" s="1" t="str">
        <f>"实变函数论"</f>
        <v>实变函数论</v>
      </c>
      <c r="D114" s="1" t="str">
        <f>"大学科基础课"</f>
        <v>大学科基础课</v>
      </c>
      <c r="E114" s="1" t="str">
        <f>"郭训香"</f>
        <v>郭训香</v>
      </c>
      <c r="F114" s="1" t="str">
        <f>"张晓英"</f>
        <v>张晓英</v>
      </c>
      <c r="G114" s="1" t="str">
        <f>"2180202Z1018"</f>
        <v>2180202Z1018</v>
      </c>
    </row>
    <row r="115" spans="1:7" ht="27.75" customHeight="1">
      <c r="A115" s="1">
        <v>113</v>
      </c>
      <c r="B115" s="1" t="str">
        <f t="shared" si="13"/>
        <v>经济数学学院</v>
      </c>
      <c r="C115" s="1" t="str">
        <f>"实变函数论"</f>
        <v>实变函数论</v>
      </c>
      <c r="D115" s="1" t="str">
        <f>"大学科基础课"</f>
        <v>大学科基础课</v>
      </c>
      <c r="E115" s="1" t="str">
        <f>"郭训香"</f>
        <v>郭训香</v>
      </c>
      <c r="F115" s="1" t="str">
        <f>"黄守德"</f>
        <v>黄守德</v>
      </c>
      <c r="G115" s="1" t="str">
        <f>"1160202Z1008"</f>
        <v>1160202Z1008</v>
      </c>
    </row>
    <row r="116" spans="1:7" ht="27.75" customHeight="1">
      <c r="A116" s="1">
        <v>114</v>
      </c>
      <c r="B116" s="1" t="str">
        <f t="shared" si="13"/>
        <v>经济数学学院</v>
      </c>
      <c r="C116" s="1" t="str">
        <f>"高等代数Ⅱ"</f>
        <v>高等代数Ⅱ</v>
      </c>
      <c r="D116" s="1" t="str">
        <f>"通识基础课"</f>
        <v>通识基础课</v>
      </c>
      <c r="E116" s="1" t="str">
        <f>"朱胜坤"</f>
        <v>朱胜坤</v>
      </c>
      <c r="F116" s="1" t="str">
        <f>"范渝蓉"</f>
        <v>范渝蓉</v>
      </c>
      <c r="G116" s="1" t="str">
        <f>"219070100005"</f>
        <v>219070100005</v>
      </c>
    </row>
    <row r="117" spans="1:7" ht="27.75" customHeight="1">
      <c r="A117" s="1">
        <v>115</v>
      </c>
      <c r="B117" s="1" t="str">
        <f t="shared" si="13"/>
        <v>经济数学学院</v>
      </c>
      <c r="C117" s="1" t="str">
        <f>"高等代数Ⅱ"</f>
        <v>高等代数Ⅱ</v>
      </c>
      <c r="D117" s="1" t="str">
        <f>"通识基础课"</f>
        <v>通识基础课</v>
      </c>
      <c r="E117" s="1" t="str">
        <f>"朱胜坤"</f>
        <v>朱胜坤</v>
      </c>
      <c r="F117" s="1" t="str">
        <f>"彭扬"</f>
        <v>彭扬</v>
      </c>
      <c r="G117" s="1" t="str">
        <f>"118120100002"</f>
        <v>118120100002</v>
      </c>
    </row>
    <row r="118" spans="1:7" ht="27.75" customHeight="1">
      <c r="A118" s="1">
        <v>116</v>
      </c>
      <c r="B118" s="1" t="str">
        <f t="shared" si="13"/>
        <v>经济数学学院</v>
      </c>
      <c r="C118" s="1" t="str">
        <f>"高等代数Ⅱ"</f>
        <v>高等代数Ⅱ</v>
      </c>
      <c r="D118" s="1" t="str">
        <f>"通识基础课"</f>
        <v>通识基础课</v>
      </c>
      <c r="E118" s="1" t="str">
        <f>"韩本三"</f>
        <v>韩本三</v>
      </c>
      <c r="F118" s="1" t="str">
        <f>"蒋浩霖"</f>
        <v>蒋浩霖</v>
      </c>
      <c r="G118" s="1" t="str">
        <f>"217020105004"</f>
        <v>217020105004</v>
      </c>
    </row>
    <row r="119" spans="1:7" ht="27.75" customHeight="1">
      <c r="A119" s="1">
        <v>117</v>
      </c>
      <c r="B119" s="1" t="str">
        <f t="shared" si="13"/>
        <v>经济数学学院</v>
      </c>
      <c r="C119" s="1" t="str">
        <f>"高等代数Ⅱ"</f>
        <v>高等代数Ⅱ</v>
      </c>
      <c r="D119" s="1" t="str">
        <f>"通识基础课"</f>
        <v>通识基础课</v>
      </c>
      <c r="E119" s="1" t="str">
        <f>"韩本三"</f>
        <v>韩本三</v>
      </c>
      <c r="F119" s="1" t="str">
        <f>"熊倩倩"</f>
        <v>熊倩倩</v>
      </c>
      <c r="G119" s="1" t="str">
        <f>"119020104002"</f>
        <v>119020104002</v>
      </c>
    </row>
    <row r="120" spans="1:7" ht="27.75" customHeight="1">
      <c r="A120" s="1">
        <v>118</v>
      </c>
      <c r="B120" s="1" t="str">
        <f t="shared" si="13"/>
        <v>经济数学学院</v>
      </c>
      <c r="C120" s="1" t="str">
        <f>"高等代数Ⅱ"</f>
        <v>高等代数Ⅱ</v>
      </c>
      <c r="D120" s="1" t="str">
        <f>"通识基础课"</f>
        <v>通识基础课</v>
      </c>
      <c r="E120" s="1" t="str">
        <f>"韩本三"</f>
        <v>韩本三</v>
      </c>
      <c r="F120" s="1" t="str">
        <f>"张伟"</f>
        <v>张伟</v>
      </c>
      <c r="G120" s="1" t="str">
        <f>"118120204004"</f>
        <v>118120204004</v>
      </c>
    </row>
    <row r="121" spans="1:7" ht="27.75" customHeight="1">
      <c r="A121" s="1">
        <v>119</v>
      </c>
      <c r="B121" s="1" t="str">
        <f t="shared" si="13"/>
        <v>经济数学学院</v>
      </c>
      <c r="C121" s="1" t="str">
        <f>"线性代数MOOC"</f>
        <v>线性代数MOOC</v>
      </c>
      <c r="D121" s="1" t="str">
        <f>"慕课"</f>
        <v>慕课</v>
      </c>
      <c r="E121" s="1" t="str">
        <f>"韩本三"</f>
        <v>韩本三</v>
      </c>
      <c r="F121" s="1" t="str">
        <f>"张佳"</f>
        <v>张佳</v>
      </c>
      <c r="G121" s="1" t="str">
        <f>"218020105003"</f>
        <v>218020105003</v>
      </c>
    </row>
    <row r="122" spans="1:7" ht="27.75" customHeight="1">
      <c r="A122" s="1">
        <v>120</v>
      </c>
      <c r="B122" s="1" t="str">
        <f t="shared" si="13"/>
        <v>经济数学学院</v>
      </c>
      <c r="C122" s="1" t="str">
        <f>"随机过程"</f>
        <v>随机过程</v>
      </c>
      <c r="D122" s="1" t="str">
        <f>"自由选修课"</f>
        <v>自由选修课</v>
      </c>
      <c r="E122" s="1" t="str">
        <f>"骆川义"</f>
        <v>骆川义</v>
      </c>
      <c r="F122" s="1" t="str">
        <f>"王一伕"</f>
        <v>王一伕</v>
      </c>
      <c r="G122" s="1" t="str">
        <f>"119020209002"</f>
        <v>119020209002</v>
      </c>
    </row>
    <row r="123" spans="1:7" ht="27.75" customHeight="1">
      <c r="A123" s="1">
        <v>121</v>
      </c>
      <c r="B123" s="1" t="str">
        <f t="shared" si="13"/>
        <v>经济数学学院</v>
      </c>
      <c r="C123" s="1" t="str">
        <f>"概率论（理科）"</f>
        <v>概率论（理科）</v>
      </c>
      <c r="D123" s="1" t="str">
        <f>"大学科基础课"</f>
        <v>大学科基础课</v>
      </c>
      <c r="E123" s="1" t="str">
        <f>"骆川义"</f>
        <v>骆川义</v>
      </c>
      <c r="F123" s="1" t="str">
        <f>"高宇璇"</f>
        <v>高宇璇</v>
      </c>
      <c r="G123" s="1" t="str">
        <f>"119020209003"</f>
        <v>119020209003</v>
      </c>
    </row>
    <row r="124" spans="1:7" ht="27.75" customHeight="1">
      <c r="A124" s="1">
        <v>122</v>
      </c>
      <c r="B124" s="1" t="str">
        <f t="shared" si="13"/>
        <v>经济数学学院</v>
      </c>
      <c r="C124" s="1" t="str">
        <f>"概率论（理科）"</f>
        <v>概率论（理科）</v>
      </c>
      <c r="D124" s="1" t="str">
        <f>"通识基础课"</f>
        <v>通识基础课</v>
      </c>
      <c r="E124" s="1" t="str">
        <f>"骆川义"</f>
        <v>骆川义</v>
      </c>
      <c r="F124" s="1" t="str">
        <f>"马琳"</f>
        <v>马琳</v>
      </c>
      <c r="G124" s="1" t="str">
        <f>"119071400004"</f>
        <v>119071400004</v>
      </c>
    </row>
    <row r="125" spans="1:7" ht="27.75" customHeight="1">
      <c r="A125" s="1">
        <v>123</v>
      </c>
      <c r="B125" s="1" t="str">
        <f t="shared" si="13"/>
        <v>经济数学学院</v>
      </c>
      <c r="C125" s="1" t="str">
        <f>"概率论（理科）"</f>
        <v>概率论（理科）</v>
      </c>
      <c r="D125" s="1" t="str">
        <f>"通识基础课"</f>
        <v>通识基础课</v>
      </c>
      <c r="E125" s="1" t="str">
        <f>"骆川义"</f>
        <v>骆川义</v>
      </c>
      <c r="F125" s="1" t="str">
        <f>"赵忠荀"</f>
        <v>赵忠荀</v>
      </c>
      <c r="G125" s="1" t="str">
        <f>"218020208034"</f>
        <v>218020208034</v>
      </c>
    </row>
    <row r="126" spans="1:7" ht="27.75" customHeight="1">
      <c r="A126" s="1">
        <v>124</v>
      </c>
      <c r="B126" s="1" t="str">
        <f t="shared" si="13"/>
        <v>经济数学学院</v>
      </c>
      <c r="C126" s="1" t="str">
        <f>"高等数学MOOC"</f>
        <v>高等数学MOOC</v>
      </c>
      <c r="D126" s="1" t="str">
        <f>"慕课"</f>
        <v>慕课</v>
      </c>
      <c r="E126" s="1" t="str">
        <f>"朱文莉"</f>
        <v>朱文莉</v>
      </c>
      <c r="F126" s="1" t="str">
        <f>"侯佳君"</f>
        <v>侯佳君</v>
      </c>
      <c r="G126" s="1" t="str">
        <f>"219020201005"</f>
        <v>219020201005</v>
      </c>
    </row>
    <row r="127" spans="1:7" ht="27.75" customHeight="1">
      <c r="A127" s="1">
        <v>125</v>
      </c>
      <c r="B127" s="1" t="str">
        <f t="shared" si="13"/>
        <v>经济数学学院</v>
      </c>
      <c r="C127" s="1" t="str">
        <f>"高等数学Ⅱ"</f>
        <v>高等数学Ⅱ</v>
      </c>
      <c r="D127" s="1" t="str">
        <f aca="true" t="shared" si="14" ref="D127:D147">"通识基础课"</f>
        <v>通识基础课</v>
      </c>
      <c r="E127" s="1" t="str">
        <f>"朱文莉"</f>
        <v>朱文莉</v>
      </c>
      <c r="F127" s="1" t="str">
        <f>"曹剑秋"</f>
        <v>曹剑秋</v>
      </c>
      <c r="G127" s="1" t="str">
        <f>"219020204013"</f>
        <v>219020204013</v>
      </c>
    </row>
    <row r="128" spans="1:7" ht="27.75" customHeight="1">
      <c r="A128" s="1">
        <v>126</v>
      </c>
      <c r="B128" s="1" t="str">
        <f t="shared" si="13"/>
        <v>经济数学学院</v>
      </c>
      <c r="C128" s="1" t="str">
        <f>"高等代数Ⅱ"</f>
        <v>高等代数Ⅱ</v>
      </c>
      <c r="D128" s="1" t="str">
        <f t="shared" si="14"/>
        <v>通识基础课</v>
      </c>
      <c r="E128" s="1" t="str">
        <f>"刘丽"</f>
        <v>刘丽</v>
      </c>
      <c r="F128" s="1" t="str">
        <f>"黄金"</f>
        <v>黄金</v>
      </c>
      <c r="G128" s="1" t="str">
        <f>"119020104012"</f>
        <v>119020104012</v>
      </c>
    </row>
    <row r="129" spans="1:7" ht="27.75" customHeight="1">
      <c r="A129" s="1">
        <v>127</v>
      </c>
      <c r="B129" s="1" t="str">
        <f t="shared" si="13"/>
        <v>经济数学学院</v>
      </c>
      <c r="C129" s="1" t="str">
        <f>"高等代数Ⅱ"</f>
        <v>高等代数Ⅱ</v>
      </c>
      <c r="D129" s="1" t="str">
        <f t="shared" si="14"/>
        <v>通识基础课</v>
      </c>
      <c r="E129" s="1" t="str">
        <f>"刘丽"</f>
        <v>刘丽</v>
      </c>
      <c r="F129" s="1" t="str">
        <f>"王子衿"</f>
        <v>王子衿</v>
      </c>
      <c r="G129" s="1" t="str">
        <f>"1190202Z1006"</f>
        <v>1190202Z1006</v>
      </c>
    </row>
    <row r="130" spans="1:7" ht="27.75" customHeight="1">
      <c r="A130" s="1">
        <v>128</v>
      </c>
      <c r="B130" s="1" t="str">
        <f t="shared" si="13"/>
        <v>经济数学学院</v>
      </c>
      <c r="C130" s="1" t="str">
        <f>"数学分析Ⅱ（理科）"</f>
        <v>数学分析Ⅱ（理科）</v>
      </c>
      <c r="D130" s="1" t="str">
        <f t="shared" si="14"/>
        <v>通识基础课</v>
      </c>
      <c r="E130" s="1" t="str">
        <f>"顾先明"</f>
        <v>顾先明</v>
      </c>
      <c r="F130" s="1" t="str">
        <f>"孔繁泽"</f>
        <v>孔繁泽</v>
      </c>
      <c r="G130" s="1" t="str">
        <f>"218070100005"</f>
        <v>218070100005</v>
      </c>
    </row>
    <row r="131" spans="1:7" ht="27.75" customHeight="1">
      <c r="A131" s="1">
        <v>129</v>
      </c>
      <c r="B131" s="1" t="str">
        <f t="shared" si="13"/>
        <v>经济数学学院</v>
      </c>
      <c r="C131" s="1" t="str">
        <f>"数学分析Ⅱ（理科）"</f>
        <v>数学分析Ⅱ（理科）</v>
      </c>
      <c r="D131" s="1" t="str">
        <f t="shared" si="14"/>
        <v>通识基础课</v>
      </c>
      <c r="E131" s="1" t="str">
        <f>"顾先明"</f>
        <v>顾先明</v>
      </c>
      <c r="F131" s="1" t="str">
        <f>"黄钰云"</f>
        <v>黄钰云</v>
      </c>
      <c r="G131" s="1" t="str">
        <f>"219070100003"</f>
        <v>219070100003</v>
      </c>
    </row>
    <row r="132" spans="1:7" ht="27.75" customHeight="1">
      <c r="A132" s="1">
        <v>130</v>
      </c>
      <c r="B132" s="1" t="str">
        <f t="shared" si="13"/>
        <v>经济数学学院</v>
      </c>
      <c r="C132" s="1" t="str">
        <f>"高等代数Ⅱ"</f>
        <v>高等代数Ⅱ</v>
      </c>
      <c r="D132" s="1" t="str">
        <f t="shared" si="14"/>
        <v>通识基础课</v>
      </c>
      <c r="E132" s="1" t="str">
        <f>"吕品"</f>
        <v>吕品</v>
      </c>
      <c r="F132" s="1" t="str">
        <f>"吕雪"</f>
        <v>吕雪</v>
      </c>
      <c r="G132" s="1" t="str">
        <f>"219071400008"</f>
        <v>219071400008</v>
      </c>
    </row>
    <row r="133" spans="1:7" ht="27.75" customHeight="1">
      <c r="A133" s="1">
        <v>131</v>
      </c>
      <c r="B133" s="1" t="str">
        <f t="shared" si="13"/>
        <v>经济数学学院</v>
      </c>
      <c r="C133" s="1" t="str">
        <f>"高等代数Ⅱ"</f>
        <v>高等代数Ⅱ</v>
      </c>
      <c r="D133" s="1" t="str">
        <f t="shared" si="14"/>
        <v>通识基础课</v>
      </c>
      <c r="E133" s="1" t="str">
        <f>"吕品"</f>
        <v>吕品</v>
      </c>
      <c r="F133" s="1" t="str">
        <f>"吴皓斐"</f>
        <v>吴皓斐</v>
      </c>
      <c r="G133" s="1" t="str">
        <f>"218070100006"</f>
        <v>218070100006</v>
      </c>
    </row>
    <row r="134" spans="1:7" ht="27.75" customHeight="1">
      <c r="A134" s="1">
        <v>132</v>
      </c>
      <c r="B134" s="1" t="str">
        <f t="shared" si="13"/>
        <v>经济数学学院</v>
      </c>
      <c r="C134" s="1" t="str">
        <f>"数学分析Ⅱ（理科）"</f>
        <v>数学分析Ⅱ（理科）</v>
      </c>
      <c r="D134" s="1" t="str">
        <f t="shared" si="14"/>
        <v>通识基础课</v>
      </c>
      <c r="E134" s="1" t="str">
        <f>"邓汝良"</f>
        <v>邓汝良</v>
      </c>
      <c r="F134" s="1" t="str">
        <f>"唐韬"</f>
        <v>唐韬</v>
      </c>
      <c r="G134" s="1" t="str">
        <f>"218020204076"</f>
        <v>218020204076</v>
      </c>
    </row>
    <row r="135" spans="1:7" ht="27.75" customHeight="1">
      <c r="A135" s="1">
        <v>133</v>
      </c>
      <c r="B135" s="1" t="str">
        <f t="shared" si="13"/>
        <v>经济数学学院</v>
      </c>
      <c r="C135" s="1" t="str">
        <f>"数学分析Ⅱ（理科）"</f>
        <v>数学分析Ⅱ（理科）</v>
      </c>
      <c r="D135" s="1" t="str">
        <f t="shared" si="14"/>
        <v>通识基础课</v>
      </c>
      <c r="E135" s="1" t="str">
        <f>"邓汝良"</f>
        <v>邓汝良</v>
      </c>
      <c r="F135" s="1" t="str">
        <f>"杨轸钰"</f>
        <v>杨轸钰</v>
      </c>
      <c r="G135" s="1" t="str">
        <f>"218020105009"</f>
        <v>218020105009</v>
      </c>
    </row>
    <row r="136" spans="1:7" ht="27.75" customHeight="1">
      <c r="A136" s="1">
        <v>134</v>
      </c>
      <c r="B136" s="1" t="str">
        <f t="shared" si="13"/>
        <v>经济数学学院</v>
      </c>
      <c r="C136" s="1" t="str">
        <f>"数学分析Ⅱ（理科）"</f>
        <v>数学分析Ⅱ（理科）</v>
      </c>
      <c r="D136" s="1" t="str">
        <f t="shared" si="14"/>
        <v>通识基础课</v>
      </c>
      <c r="E136" s="1" t="str">
        <f>"尹正"</f>
        <v>尹正</v>
      </c>
      <c r="F136" s="1" t="str">
        <f>"何凯"</f>
        <v>何凯</v>
      </c>
      <c r="G136" s="1" t="str">
        <f>"119120100002"</f>
        <v>119120100002</v>
      </c>
    </row>
    <row r="137" spans="1:7" ht="27.75" customHeight="1">
      <c r="A137" s="1">
        <v>135</v>
      </c>
      <c r="B137" s="1" t="str">
        <f aca="true" t="shared" si="15" ref="B137:B153">"经济数学学院"</f>
        <v>经济数学学院</v>
      </c>
      <c r="C137" s="1" t="str">
        <f>"数学分析Ⅱ（理科）"</f>
        <v>数学分析Ⅱ（理科）</v>
      </c>
      <c r="D137" s="1" t="str">
        <f t="shared" si="14"/>
        <v>通识基础课</v>
      </c>
      <c r="E137" s="1" t="str">
        <f>"尹正"</f>
        <v>尹正</v>
      </c>
      <c r="F137" s="1" t="str">
        <f>"田金寰"</f>
        <v>田金寰</v>
      </c>
      <c r="G137" s="1" t="str">
        <f>"217020204225"</f>
        <v>217020204225</v>
      </c>
    </row>
    <row r="138" spans="1:7" ht="27.75" customHeight="1">
      <c r="A138" s="1">
        <v>136</v>
      </c>
      <c r="B138" s="1" t="str">
        <f t="shared" si="15"/>
        <v>经济数学学院</v>
      </c>
      <c r="C138" s="1" t="str">
        <f>"数学分析Ⅱ（理科）"</f>
        <v>数学分析Ⅱ（理科）</v>
      </c>
      <c r="D138" s="1" t="str">
        <f t="shared" si="14"/>
        <v>通识基础课</v>
      </c>
      <c r="E138" s="1" t="str">
        <f>"尹正"</f>
        <v>尹正</v>
      </c>
      <c r="F138" s="1" t="str">
        <f>"亢晶浩"</f>
        <v>亢晶浩</v>
      </c>
      <c r="G138" s="1" t="str">
        <f>"118020209002"</f>
        <v>118020209002</v>
      </c>
    </row>
    <row r="139" spans="1:7" ht="27.75" customHeight="1">
      <c r="A139" s="1">
        <v>137</v>
      </c>
      <c r="B139" s="1" t="str">
        <f t="shared" si="15"/>
        <v>经济数学学院</v>
      </c>
      <c r="C139" s="1" t="str">
        <f>"高等数学Ⅱ"</f>
        <v>高等数学Ⅱ</v>
      </c>
      <c r="D139" s="1" t="str">
        <f t="shared" si="14"/>
        <v>通识基础课</v>
      </c>
      <c r="E139" s="1" t="str">
        <f>"林可"</f>
        <v>林可</v>
      </c>
      <c r="F139" s="1" t="str">
        <f>"王浩瀚"</f>
        <v>王浩瀚</v>
      </c>
      <c r="G139" s="1" t="str">
        <f>"119020204008"</f>
        <v>119020204008</v>
      </c>
    </row>
    <row r="140" spans="1:7" ht="27.75" customHeight="1">
      <c r="A140" s="1">
        <v>138</v>
      </c>
      <c r="B140" s="1" t="str">
        <f t="shared" si="15"/>
        <v>经济数学学院</v>
      </c>
      <c r="C140" s="1" t="str">
        <f>"高等数学Ⅱ"</f>
        <v>高等数学Ⅱ</v>
      </c>
      <c r="D140" s="1" t="str">
        <f t="shared" si="14"/>
        <v>通识基础课</v>
      </c>
      <c r="E140" s="1" t="str">
        <f>"林可"</f>
        <v>林可</v>
      </c>
      <c r="F140" s="1" t="str">
        <f>"宋柯锐"</f>
        <v>宋柯锐</v>
      </c>
      <c r="G140" s="1" t="str">
        <f>"2190202Z1022"</f>
        <v>2190202Z1022</v>
      </c>
    </row>
    <row r="141" spans="1:7" ht="27.75" customHeight="1">
      <c r="A141" s="1">
        <v>139</v>
      </c>
      <c r="B141" s="1" t="str">
        <f t="shared" si="15"/>
        <v>经济数学学院</v>
      </c>
      <c r="C141" s="1" t="str">
        <f>"数学分析Ⅱ（理科）"</f>
        <v>数学分析Ⅱ（理科）</v>
      </c>
      <c r="D141" s="1" t="str">
        <f t="shared" si="14"/>
        <v>通识基础课</v>
      </c>
      <c r="E141" s="1" t="str">
        <f>"张具明"</f>
        <v>张具明</v>
      </c>
      <c r="F141" s="1" t="str">
        <f>"曹洁"</f>
        <v>曹洁</v>
      </c>
      <c r="G141" s="1" t="str">
        <f>"218020105008"</f>
        <v>218020105008</v>
      </c>
    </row>
    <row r="142" spans="1:7" ht="27.75" customHeight="1">
      <c r="A142" s="1">
        <v>140</v>
      </c>
      <c r="B142" s="1" t="str">
        <f t="shared" si="15"/>
        <v>经济数学学院</v>
      </c>
      <c r="C142" s="1" t="str">
        <f>"数学分析Ⅱ（理科）"</f>
        <v>数学分析Ⅱ（理科）</v>
      </c>
      <c r="D142" s="1" t="str">
        <f t="shared" si="14"/>
        <v>通识基础课</v>
      </c>
      <c r="E142" s="1" t="str">
        <f>"张具明"</f>
        <v>张具明</v>
      </c>
      <c r="F142" s="1" t="str">
        <f>"吴秀琴"</f>
        <v>吴秀琴</v>
      </c>
      <c r="G142" s="1" t="str">
        <f>"1180201Z2001"</f>
        <v>1180201Z2001</v>
      </c>
    </row>
    <row r="143" spans="1:7" ht="27.75" customHeight="1">
      <c r="A143" s="1">
        <v>141</v>
      </c>
      <c r="B143" s="1" t="str">
        <f t="shared" si="15"/>
        <v>经济数学学院</v>
      </c>
      <c r="C143" s="1" t="str">
        <f>"数学分析Ⅱ（理科）"</f>
        <v>数学分析Ⅱ（理科）</v>
      </c>
      <c r="D143" s="1" t="str">
        <f t="shared" si="14"/>
        <v>通识基础课</v>
      </c>
      <c r="E143" s="1" t="str">
        <f>"张具明"</f>
        <v>张具明</v>
      </c>
      <c r="F143" s="1" t="str">
        <f>"李星皓"</f>
        <v>李星皓</v>
      </c>
      <c r="G143" s="1" t="str">
        <f>"1190201Z2002"</f>
        <v>1190201Z2002</v>
      </c>
    </row>
    <row r="144" spans="1:7" ht="27.75" customHeight="1">
      <c r="A144" s="1">
        <v>142</v>
      </c>
      <c r="B144" s="1" t="str">
        <f t="shared" si="15"/>
        <v>经济数学学院</v>
      </c>
      <c r="C144" s="1" t="str">
        <f>"高等代数Ⅱ"</f>
        <v>高等代数Ⅱ</v>
      </c>
      <c r="D144" s="1" t="str">
        <f t="shared" si="14"/>
        <v>通识基础课</v>
      </c>
      <c r="E144" s="1" t="str">
        <f>"杨扬"</f>
        <v>杨扬</v>
      </c>
      <c r="F144" s="1" t="str">
        <f>"徐明明"</f>
        <v>徐明明</v>
      </c>
      <c r="G144" s="1" t="str">
        <f>"217020105002"</f>
        <v>217020105002</v>
      </c>
    </row>
    <row r="145" spans="1:7" ht="27.75" customHeight="1">
      <c r="A145" s="1">
        <v>143</v>
      </c>
      <c r="B145" s="1" t="str">
        <f t="shared" si="15"/>
        <v>经济数学学院</v>
      </c>
      <c r="C145" s="1" t="str">
        <f>"高等代数Ⅱ"</f>
        <v>高等代数Ⅱ</v>
      </c>
      <c r="D145" s="1" t="str">
        <f t="shared" si="14"/>
        <v>通识基础课</v>
      </c>
      <c r="E145" s="1" t="str">
        <f>"杨扬"</f>
        <v>杨扬</v>
      </c>
      <c r="F145" s="1" t="str">
        <f>"冷萱"</f>
        <v>冷萱</v>
      </c>
      <c r="G145" s="1" t="str">
        <f>"218020104028"</f>
        <v>218020104028</v>
      </c>
    </row>
    <row r="146" spans="1:7" ht="27.75" customHeight="1">
      <c r="A146" s="1">
        <v>144</v>
      </c>
      <c r="B146" s="1" t="str">
        <f t="shared" si="15"/>
        <v>经济数学学院</v>
      </c>
      <c r="C146" s="1" t="str">
        <f>"高等数学Ⅱ"</f>
        <v>高等数学Ⅱ</v>
      </c>
      <c r="D146" s="1" t="str">
        <f t="shared" si="14"/>
        <v>通识基础课</v>
      </c>
      <c r="E146" s="1" t="str">
        <f>"王永富"</f>
        <v>王永富</v>
      </c>
      <c r="F146" s="1" t="str">
        <f>"李页"</f>
        <v>李页</v>
      </c>
      <c r="G146" s="1" t="str">
        <f>"217020104023"</f>
        <v>217020104023</v>
      </c>
    </row>
    <row r="147" spans="1:7" ht="27.75" customHeight="1">
      <c r="A147" s="1">
        <v>145</v>
      </c>
      <c r="B147" s="1" t="str">
        <f t="shared" si="15"/>
        <v>经济数学学院</v>
      </c>
      <c r="C147" s="1" t="str">
        <f>"高等数学Ⅱ"</f>
        <v>高等数学Ⅱ</v>
      </c>
      <c r="D147" s="1" t="str">
        <f t="shared" si="14"/>
        <v>通识基础课</v>
      </c>
      <c r="E147" s="1" t="str">
        <f>"王永富"</f>
        <v>王永富</v>
      </c>
      <c r="F147" s="1" t="str">
        <f>"王珂"</f>
        <v>王珂</v>
      </c>
      <c r="G147" s="1" t="str">
        <f>"2170202Z1003"</f>
        <v>2170202Z1003</v>
      </c>
    </row>
    <row r="148" spans="1:7" ht="27.75" customHeight="1">
      <c r="A148" s="1">
        <v>146</v>
      </c>
      <c r="B148" s="1" t="str">
        <f t="shared" si="15"/>
        <v>经济数学学院</v>
      </c>
      <c r="C148" s="1" t="str">
        <f>"高等数学Ⅱ"</f>
        <v>高等数学Ⅱ</v>
      </c>
      <c r="D148" s="1" t="str">
        <f>"大学科基础课"</f>
        <v>大学科基础课</v>
      </c>
      <c r="E148" s="1" t="str">
        <f>"车茂林"</f>
        <v>车茂林</v>
      </c>
      <c r="F148" s="1" t="str">
        <f>"杨文昇"</f>
        <v>杨文昇</v>
      </c>
      <c r="G148" s="1" t="str">
        <f>"1180202Z1009"</f>
        <v>1180202Z1009</v>
      </c>
    </row>
    <row r="149" spans="1:7" ht="27.75" customHeight="1">
      <c r="A149" s="1">
        <v>147</v>
      </c>
      <c r="B149" s="1" t="str">
        <f t="shared" si="15"/>
        <v>经济数学学院</v>
      </c>
      <c r="C149" s="1" t="str">
        <f>"高等代数Ⅰ"</f>
        <v>高等代数Ⅰ</v>
      </c>
      <c r="D149" s="1" t="str">
        <f>"通识基础课"</f>
        <v>通识基础课</v>
      </c>
      <c r="E149" s="1" t="str">
        <f>"张昕"</f>
        <v>张昕</v>
      </c>
      <c r="F149" s="1" t="str">
        <f>"黄泽宇"</f>
        <v>黄泽宇</v>
      </c>
      <c r="G149" s="1" t="str">
        <f>"2190202Z2001"</f>
        <v>2190202Z2001</v>
      </c>
    </row>
    <row r="150" spans="1:7" ht="27.75" customHeight="1">
      <c r="A150" s="1">
        <v>148</v>
      </c>
      <c r="B150" s="1" t="str">
        <f t="shared" si="15"/>
        <v>经济数学学院</v>
      </c>
      <c r="C150" s="1" t="str">
        <f>"高等代数Ⅰ"</f>
        <v>高等代数Ⅰ</v>
      </c>
      <c r="D150" s="1" t="str">
        <f>"通识基础课"</f>
        <v>通识基础课</v>
      </c>
      <c r="E150" s="1" t="str">
        <f>"张昕"</f>
        <v>张昕</v>
      </c>
      <c r="F150" s="1" t="str">
        <f>"龚建峰"</f>
        <v>龚建峰</v>
      </c>
      <c r="G150" s="1" t="str">
        <f>"219120100016"</f>
        <v>219120100016</v>
      </c>
    </row>
    <row r="151" spans="1:7" ht="27.75" customHeight="1">
      <c r="A151" s="1">
        <v>149</v>
      </c>
      <c r="B151" s="1" t="str">
        <f t="shared" si="15"/>
        <v>经济数学学院</v>
      </c>
      <c r="C151" s="1" t="str">
        <f>"数学分析Ⅱ（理科）"</f>
        <v>数学分析Ⅱ（理科）</v>
      </c>
      <c r="D151" s="1" t="str">
        <f>"通识基础课"</f>
        <v>通识基础课</v>
      </c>
      <c r="E151" s="1" t="str">
        <f>"杜彬彬"</f>
        <v>杜彬彬</v>
      </c>
      <c r="F151" s="1" t="str">
        <f>"陈凯"</f>
        <v>陈凯</v>
      </c>
      <c r="G151" s="1" t="str">
        <f>"219070100004"</f>
        <v>219070100004</v>
      </c>
    </row>
    <row r="152" spans="1:7" ht="27.75" customHeight="1">
      <c r="A152" s="1">
        <v>150</v>
      </c>
      <c r="B152" s="1" t="str">
        <f t="shared" si="15"/>
        <v>经济数学学院</v>
      </c>
      <c r="C152" s="1" t="str">
        <f>"高等数学Ⅱ"</f>
        <v>高等数学Ⅱ</v>
      </c>
      <c r="D152" s="1" t="str">
        <f>"大学科基础课"</f>
        <v>大学科基础课</v>
      </c>
      <c r="E152" s="1" t="str">
        <f>"安聪沛"</f>
        <v>安聪沛</v>
      </c>
      <c r="F152" s="1" t="str">
        <f>"沈晏西"</f>
        <v>沈晏西</v>
      </c>
      <c r="G152" s="1" t="str">
        <f>"2180202Z1021"</f>
        <v>2180202Z1021</v>
      </c>
    </row>
    <row r="153" spans="1:7" ht="27.75" customHeight="1">
      <c r="A153" s="1">
        <v>151</v>
      </c>
      <c r="B153" s="1" t="str">
        <f t="shared" si="15"/>
        <v>经济数学学院</v>
      </c>
      <c r="C153" s="1" t="str">
        <f>"高等数学Ⅱ"</f>
        <v>高等数学Ⅱ</v>
      </c>
      <c r="D153" s="1" t="str">
        <f>"通识基础课"</f>
        <v>通识基础课</v>
      </c>
      <c r="E153" s="1" t="str">
        <f>"安聪沛"</f>
        <v>安聪沛</v>
      </c>
      <c r="F153" s="1" t="str">
        <f>"刘洵"</f>
        <v>刘洵</v>
      </c>
      <c r="G153" s="1" t="str">
        <f>"117020104007"</f>
        <v>117020104007</v>
      </c>
    </row>
    <row r="154" spans="1:7" ht="27.75" customHeight="1">
      <c r="A154" s="1">
        <v>152</v>
      </c>
      <c r="B154" s="1" t="str">
        <f>"经济信息工程学院"</f>
        <v>经济信息工程学院</v>
      </c>
      <c r="C154" s="1" t="str">
        <f>"商务智能MOOC"</f>
        <v>商务智能MOOC</v>
      </c>
      <c r="D154" s="1" t="str">
        <f>"慕课"</f>
        <v>慕课</v>
      </c>
      <c r="E154" s="1" t="str">
        <f>"李瑾坤"</f>
        <v>李瑾坤</v>
      </c>
      <c r="F154" s="1" t="str">
        <f>"黄超"</f>
        <v>黄超</v>
      </c>
      <c r="G154" s="1" t="str">
        <f>"2181202Z4002"</f>
        <v>2181202Z4002</v>
      </c>
    </row>
    <row r="155" spans="1:7" ht="27.75" customHeight="1">
      <c r="A155" s="1">
        <v>153</v>
      </c>
      <c r="B155" s="1" t="str">
        <f>"经济信息工程学院"</f>
        <v>经济信息工程学院</v>
      </c>
      <c r="C155" s="1" t="str">
        <f>"数字经济支付MOOC"</f>
        <v>数字经济支付MOOC</v>
      </c>
      <c r="D155" s="1" t="str">
        <f>"慕课"</f>
        <v>慕课</v>
      </c>
      <c r="E155" s="1" t="str">
        <f>"李忠俊"</f>
        <v>李忠俊</v>
      </c>
      <c r="F155" s="1" t="str">
        <f>"潘星蓓"</f>
        <v>潘星蓓</v>
      </c>
      <c r="G155" s="1" t="str">
        <f>"2180202Z3003"</f>
        <v>2180202Z3003</v>
      </c>
    </row>
    <row r="156" spans="1:7" ht="27.75" customHeight="1">
      <c r="A156" s="1">
        <v>154</v>
      </c>
      <c r="B156" s="1" t="str">
        <f>"经济信息工程学院"</f>
        <v>经济信息工程学院</v>
      </c>
      <c r="C156" s="1" t="str">
        <f>"互联网金融MOOC"</f>
        <v>互联网金融MOOC</v>
      </c>
      <c r="D156" s="1" t="str">
        <f>"慕课"</f>
        <v>慕课</v>
      </c>
      <c r="E156" s="1" t="str">
        <f>"帅青红"</f>
        <v>帅青红</v>
      </c>
      <c r="F156" s="1" t="str">
        <f>"胥莹柳"</f>
        <v>胥莹柳</v>
      </c>
      <c r="G156" s="1" t="str">
        <f>"2180202Z3001"</f>
        <v>2180202Z3001</v>
      </c>
    </row>
    <row r="157" spans="1:7" ht="27.75" customHeight="1">
      <c r="A157" s="1">
        <v>155</v>
      </c>
      <c r="B157" s="1" t="str">
        <f aca="true" t="shared" si="16" ref="B157:B177">"经济学院"</f>
        <v>经济学院</v>
      </c>
      <c r="C157" s="1" t="str">
        <f>"微观经济学"</f>
        <v>微观经济学</v>
      </c>
      <c r="D157" s="1" t="str">
        <f>"大学科基础课"</f>
        <v>大学科基础课</v>
      </c>
      <c r="E157" s="1" t="str">
        <f>"程树磊"</f>
        <v>程树磊</v>
      </c>
      <c r="F157" s="1" t="str">
        <f>"陈永韬"</f>
        <v>陈永韬</v>
      </c>
      <c r="G157" s="1" t="str">
        <f>"218020204222"</f>
        <v>218020204222</v>
      </c>
    </row>
    <row r="158" spans="1:7" ht="27.75" customHeight="1">
      <c r="A158" s="1">
        <v>156</v>
      </c>
      <c r="B158" s="1" t="str">
        <f t="shared" si="16"/>
        <v>经济学院</v>
      </c>
      <c r="C158" s="1" t="str">
        <f>"政治经济学"</f>
        <v>政治经济学</v>
      </c>
      <c r="D158" s="1" t="str">
        <f>"大学科基础课"</f>
        <v>大学科基础课</v>
      </c>
      <c r="E158" s="1" t="str">
        <f>"李怡乐"</f>
        <v>李怡乐</v>
      </c>
      <c r="F158" s="1" t="str">
        <f>"陈亚"</f>
        <v>陈亚</v>
      </c>
      <c r="G158" s="1" t="str">
        <f>"219020101012"</f>
        <v>219020101012</v>
      </c>
    </row>
    <row r="159" spans="1:7" ht="27.75" customHeight="1">
      <c r="A159" s="1">
        <v>157</v>
      </c>
      <c r="B159" s="1" t="str">
        <f t="shared" si="16"/>
        <v>经济学院</v>
      </c>
      <c r="C159" s="1" t="str">
        <f>"政治经济学"</f>
        <v>政治经济学</v>
      </c>
      <c r="D159" s="1" t="str">
        <f>"大学科基础课"</f>
        <v>大学科基础课</v>
      </c>
      <c r="E159" s="1" t="str">
        <f>"李怡乐"</f>
        <v>李怡乐</v>
      </c>
      <c r="F159" s="1" t="str">
        <f>"杨杨"</f>
        <v>杨杨</v>
      </c>
      <c r="G159" s="1" t="str">
        <f>"1190201Z2001"</f>
        <v>1190201Z2001</v>
      </c>
    </row>
    <row r="160" spans="1:7" ht="27.75" customHeight="1">
      <c r="A160" s="1">
        <v>158</v>
      </c>
      <c r="B160" s="1" t="str">
        <f t="shared" si="16"/>
        <v>经济学院</v>
      </c>
      <c r="C160" s="1" t="str">
        <f>"宏观经济学"</f>
        <v>宏观经济学</v>
      </c>
      <c r="D160" s="1" t="str">
        <f>"大学科基础课"</f>
        <v>大学科基础课</v>
      </c>
      <c r="E160" s="1" t="str">
        <f>"刘定"</f>
        <v>刘定</v>
      </c>
      <c r="F160" s="1" t="str">
        <f>"刘佩忠"</f>
        <v>刘佩忠</v>
      </c>
      <c r="G160" s="1" t="str">
        <f>"119020204060"</f>
        <v>119020204060</v>
      </c>
    </row>
    <row r="161" spans="1:7" ht="27.75" customHeight="1">
      <c r="A161" s="1">
        <v>159</v>
      </c>
      <c r="B161" s="1" t="str">
        <f t="shared" si="16"/>
        <v>经济学院</v>
      </c>
      <c r="C161" s="1" t="str">
        <f>"宏观经济学（双语）"</f>
        <v>宏观经济学（双语）</v>
      </c>
      <c r="D161" s="1" t="str">
        <f>"大学科基础课"</f>
        <v>大学科基础课</v>
      </c>
      <c r="E161" s="1" t="str">
        <f>"刘定"</f>
        <v>刘定</v>
      </c>
      <c r="F161" s="1" t="str">
        <f>"栾炳江"</f>
        <v>栾炳江</v>
      </c>
      <c r="G161" s="1" t="str">
        <f>"117020104003"</f>
        <v>117020104003</v>
      </c>
    </row>
    <row r="162" spans="1:7" ht="27.75" customHeight="1">
      <c r="A162" s="1">
        <v>160</v>
      </c>
      <c r="B162" s="1" t="str">
        <f t="shared" si="16"/>
        <v>经济学院</v>
      </c>
      <c r="C162" s="1" t="str">
        <f>"政治经济学"</f>
        <v>政治经济学</v>
      </c>
      <c r="D162" s="1" t="str">
        <f>"专业必修课"</f>
        <v>专业必修课</v>
      </c>
      <c r="E162" s="1" t="str">
        <f>"蒋南平"</f>
        <v>蒋南平</v>
      </c>
      <c r="F162" s="1" t="str">
        <f>"张明明"</f>
        <v>张明明</v>
      </c>
      <c r="G162" s="1" t="str">
        <f>"217020101013"</f>
        <v>217020101013</v>
      </c>
    </row>
    <row r="163" spans="1:7" ht="27.75" customHeight="1">
      <c r="A163" s="1">
        <v>161</v>
      </c>
      <c r="B163" s="1" t="str">
        <f t="shared" si="16"/>
        <v>经济学院</v>
      </c>
      <c r="C163" s="1" t="str">
        <f>"政治经济学"</f>
        <v>政治经济学</v>
      </c>
      <c r="D163" s="1" t="str">
        <f aca="true" t="shared" si="17" ref="D163:D168">"大学科基础课"</f>
        <v>大学科基础课</v>
      </c>
      <c r="E163" s="1" t="str">
        <f>"蒋南平"</f>
        <v>蒋南平</v>
      </c>
      <c r="F163" s="1" t="str">
        <f>"梁瑞雪"</f>
        <v>梁瑞雪</v>
      </c>
      <c r="G163" s="1" t="str">
        <f>"218020101016"</f>
        <v>218020101016</v>
      </c>
    </row>
    <row r="164" spans="1:7" ht="27.75" customHeight="1">
      <c r="A164" s="1">
        <v>162</v>
      </c>
      <c r="B164" s="1" t="str">
        <f t="shared" si="16"/>
        <v>经济学院</v>
      </c>
      <c r="C164" s="1" t="str">
        <f>"宏观经济学"</f>
        <v>宏观经济学</v>
      </c>
      <c r="D164" s="1" t="str">
        <f t="shared" si="17"/>
        <v>大学科基础课</v>
      </c>
      <c r="E164" s="1" t="str">
        <f>"杨慧玲"</f>
        <v>杨慧玲</v>
      </c>
      <c r="F164" s="1" t="str">
        <f>"张力"</f>
        <v>张力</v>
      </c>
      <c r="G164" s="1" t="str">
        <f>"118020101006"</f>
        <v>118020101006</v>
      </c>
    </row>
    <row r="165" spans="1:7" ht="27.75" customHeight="1">
      <c r="A165" s="1">
        <v>163</v>
      </c>
      <c r="B165" s="1" t="str">
        <f t="shared" si="16"/>
        <v>经济学院</v>
      </c>
      <c r="C165" s="1" t="str">
        <f>"微观经济学"</f>
        <v>微观经济学</v>
      </c>
      <c r="D165" s="1" t="str">
        <f t="shared" si="17"/>
        <v>大学科基础课</v>
      </c>
      <c r="E165" s="1" t="str">
        <f>"谢洪燕"</f>
        <v>谢洪燕</v>
      </c>
      <c r="F165" s="1" t="str">
        <f>"向珂宇"</f>
        <v>向珂宇</v>
      </c>
      <c r="G165" s="1" t="str">
        <f>"219020105009"</f>
        <v>219020105009</v>
      </c>
    </row>
    <row r="166" spans="1:7" ht="27.75" customHeight="1">
      <c r="A166" s="1">
        <v>164</v>
      </c>
      <c r="B166" s="1" t="str">
        <f t="shared" si="16"/>
        <v>经济学院</v>
      </c>
      <c r="C166" s="1" t="str">
        <f>"政治经济学"</f>
        <v>政治经济学</v>
      </c>
      <c r="D166" s="1" t="str">
        <f t="shared" si="17"/>
        <v>大学科基础课</v>
      </c>
      <c r="E166" s="1" t="str">
        <f>"吴垠"</f>
        <v>吴垠</v>
      </c>
      <c r="F166" s="1" t="str">
        <f>"韩明明"</f>
        <v>韩明明</v>
      </c>
      <c r="G166" s="1" t="str">
        <f>"118020202002"</f>
        <v>118020202002</v>
      </c>
    </row>
    <row r="167" spans="1:7" ht="27.75" customHeight="1">
      <c r="A167" s="1">
        <v>165</v>
      </c>
      <c r="B167" s="1" t="str">
        <f t="shared" si="16"/>
        <v>经济学院</v>
      </c>
      <c r="C167" s="1" t="str">
        <f>"微观经济学"</f>
        <v>微观经济学</v>
      </c>
      <c r="D167" s="1" t="str">
        <f t="shared" si="17"/>
        <v>大学科基础课</v>
      </c>
      <c r="E167" s="1" t="str">
        <f>"袁正"</f>
        <v>袁正</v>
      </c>
      <c r="F167" s="1" t="str">
        <f>"曹恬心"</f>
        <v>曹恬心</v>
      </c>
      <c r="G167" s="1" t="str">
        <f>"219020104034"</f>
        <v>219020104034</v>
      </c>
    </row>
    <row r="168" spans="1:7" ht="27.75" customHeight="1">
      <c r="A168" s="1">
        <v>166</v>
      </c>
      <c r="B168" s="1" t="str">
        <f t="shared" si="16"/>
        <v>经济学院</v>
      </c>
      <c r="C168" s="1" t="str">
        <f>"微观经济学"</f>
        <v>微观经济学</v>
      </c>
      <c r="D168" s="1" t="str">
        <f t="shared" si="17"/>
        <v>大学科基础课</v>
      </c>
      <c r="E168" s="1" t="str">
        <f>"袁正"</f>
        <v>袁正</v>
      </c>
      <c r="F168" s="1" t="str">
        <f>"汤乾宇"</f>
        <v>汤乾宇</v>
      </c>
      <c r="G168" s="1" t="str">
        <f>"219020104013"</f>
        <v>219020104013</v>
      </c>
    </row>
    <row r="169" spans="1:7" ht="27.75" customHeight="1">
      <c r="A169" s="1">
        <v>167</v>
      </c>
      <c r="B169" s="1" t="str">
        <f t="shared" si="16"/>
        <v>经济学院</v>
      </c>
      <c r="C169" s="1" t="str">
        <f>"中级宏观经济学MOOC"</f>
        <v>中级宏观经济学MOOC</v>
      </c>
      <c r="D169" s="1" t="str">
        <f>"慕课"</f>
        <v>慕课</v>
      </c>
      <c r="E169" s="1" t="str">
        <f>"陈师"</f>
        <v>陈师</v>
      </c>
      <c r="F169" s="1" t="str">
        <f>"姚玟羽"</f>
        <v>姚玟羽</v>
      </c>
      <c r="G169" s="1" t="str">
        <f>"119020101001"</f>
        <v>119020101001</v>
      </c>
    </row>
    <row r="170" spans="1:7" ht="27.75" customHeight="1">
      <c r="A170" s="1">
        <v>168</v>
      </c>
      <c r="B170" s="1" t="str">
        <f t="shared" si="16"/>
        <v>经济学院</v>
      </c>
      <c r="C170" s="1" t="str">
        <f>"宏观经济学"</f>
        <v>宏观经济学</v>
      </c>
      <c r="D170" s="1" t="str">
        <f aca="true" t="shared" si="18" ref="D170:D177">"大学科基础课"</f>
        <v>大学科基础课</v>
      </c>
      <c r="E170" s="1" t="str">
        <f>"王爱伦"</f>
        <v>王爱伦</v>
      </c>
      <c r="F170" s="1" t="str">
        <f>"刘宇伟"</f>
        <v>刘宇伟</v>
      </c>
      <c r="G170" s="1" t="str">
        <f>"218020105002"</f>
        <v>218020105002</v>
      </c>
    </row>
    <row r="171" spans="1:7" ht="27.75" customHeight="1">
      <c r="A171" s="1">
        <v>169</v>
      </c>
      <c r="B171" s="1" t="str">
        <f t="shared" si="16"/>
        <v>经济学院</v>
      </c>
      <c r="C171" s="1" t="str">
        <f>"宏观经济学"</f>
        <v>宏观经济学</v>
      </c>
      <c r="D171" s="1" t="str">
        <f t="shared" si="18"/>
        <v>大学科基础课</v>
      </c>
      <c r="E171" s="1" t="str">
        <f>"王爱伦"</f>
        <v>王爱伦</v>
      </c>
      <c r="F171" s="1" t="str">
        <f>"王慧欣"</f>
        <v>王慧欣</v>
      </c>
      <c r="G171" s="1" t="str">
        <f>"218020204232"</f>
        <v>218020204232</v>
      </c>
    </row>
    <row r="172" spans="1:7" ht="27.75" customHeight="1">
      <c r="A172" s="1">
        <v>170</v>
      </c>
      <c r="B172" s="1" t="str">
        <f t="shared" si="16"/>
        <v>经济学院</v>
      </c>
      <c r="C172" s="1" t="str">
        <f>"微观经济学"</f>
        <v>微观经济学</v>
      </c>
      <c r="D172" s="1" t="str">
        <f t="shared" si="18"/>
        <v>大学科基础课</v>
      </c>
      <c r="E172" s="1" t="str">
        <f>"王湛"</f>
        <v>王湛</v>
      </c>
      <c r="F172" s="1" t="str">
        <f>"刘欢"</f>
        <v>刘欢</v>
      </c>
      <c r="G172" s="1" t="str">
        <f>"219020201002"</f>
        <v>219020201002</v>
      </c>
    </row>
    <row r="173" spans="1:7" ht="27.75" customHeight="1">
      <c r="A173" s="1">
        <v>171</v>
      </c>
      <c r="B173" s="1" t="str">
        <f t="shared" si="16"/>
        <v>经济学院</v>
      </c>
      <c r="C173" s="1" t="str">
        <f>"微观经济学"</f>
        <v>微观经济学</v>
      </c>
      <c r="D173" s="1" t="str">
        <f t="shared" si="18"/>
        <v>大学科基础课</v>
      </c>
      <c r="E173" s="1" t="str">
        <f>"王湛"</f>
        <v>王湛</v>
      </c>
      <c r="F173" s="1" t="str">
        <f>"刘雪萌"</f>
        <v>刘雪萌</v>
      </c>
      <c r="G173" s="1" t="str">
        <f>"218020105001"</f>
        <v>218020105001</v>
      </c>
    </row>
    <row r="174" spans="1:7" ht="27.75" customHeight="1">
      <c r="A174" s="1">
        <v>172</v>
      </c>
      <c r="B174" s="1" t="str">
        <f t="shared" si="16"/>
        <v>经济学院</v>
      </c>
      <c r="C174" s="1" t="str">
        <f>"微观经济学"</f>
        <v>微观经济学</v>
      </c>
      <c r="D174" s="1" t="str">
        <f t="shared" si="18"/>
        <v>大学科基础课</v>
      </c>
      <c r="E174" s="1" t="str">
        <f>"王湛"</f>
        <v>王湛</v>
      </c>
      <c r="F174" s="1" t="str">
        <f>"纪旭"</f>
        <v>纪旭</v>
      </c>
      <c r="G174" s="1" t="str">
        <f>"218020204230"</f>
        <v>218020204230</v>
      </c>
    </row>
    <row r="175" spans="1:7" ht="27.75" customHeight="1">
      <c r="A175" s="1">
        <v>173</v>
      </c>
      <c r="B175" s="1" t="str">
        <f t="shared" si="16"/>
        <v>经济学院</v>
      </c>
      <c r="C175" s="1" t="str">
        <f>"政治经济学"</f>
        <v>政治经济学</v>
      </c>
      <c r="D175" s="1" t="str">
        <f t="shared" si="18"/>
        <v>大学科基础课</v>
      </c>
      <c r="E175" s="1" t="str">
        <f>"陈姝兴"</f>
        <v>陈姝兴</v>
      </c>
      <c r="F175" s="1" t="str">
        <f>"丁登龙"</f>
        <v>丁登龙</v>
      </c>
      <c r="G175" s="1" t="str">
        <f>"219020101007"</f>
        <v>219020101007</v>
      </c>
    </row>
    <row r="176" spans="1:7" ht="27.75" customHeight="1">
      <c r="A176" s="1">
        <v>174</v>
      </c>
      <c r="B176" s="1" t="str">
        <f t="shared" si="16"/>
        <v>经济学院</v>
      </c>
      <c r="C176" s="1" t="str">
        <f>"政治经济学"</f>
        <v>政治经济学</v>
      </c>
      <c r="D176" s="1" t="str">
        <f t="shared" si="18"/>
        <v>大学科基础课</v>
      </c>
      <c r="E176" s="1" t="str">
        <f>"陈姝兴"</f>
        <v>陈姝兴</v>
      </c>
      <c r="F176" s="1" t="str">
        <f>"许渤胤"</f>
        <v>许渤胤</v>
      </c>
      <c r="G176" s="1" t="str">
        <f>"118020202005"</f>
        <v>118020202005</v>
      </c>
    </row>
    <row r="177" spans="1:7" ht="27.75" customHeight="1">
      <c r="A177" s="1">
        <v>175</v>
      </c>
      <c r="B177" s="1" t="str">
        <f t="shared" si="16"/>
        <v>经济学院</v>
      </c>
      <c r="C177" s="1" t="str">
        <f>"微观经济学"</f>
        <v>微观经济学</v>
      </c>
      <c r="D177" s="1" t="str">
        <f t="shared" si="18"/>
        <v>大学科基础课</v>
      </c>
      <c r="E177" s="1" t="str">
        <f>"王帝"</f>
        <v>王帝</v>
      </c>
      <c r="F177" s="1" t="str">
        <f>"张欣玮"</f>
        <v>张欣玮</v>
      </c>
      <c r="G177" s="1" t="str">
        <f>"219020104031"</f>
        <v>219020104031</v>
      </c>
    </row>
    <row r="178" spans="1:7" ht="27.75" customHeight="1">
      <c r="A178" s="1">
        <v>176</v>
      </c>
      <c r="B178" s="1" t="str">
        <f>"经贸外语学院"</f>
        <v>经贸外语学院</v>
      </c>
      <c r="C178" s="1" t="str">
        <f>"商务英语-案例篇MOOC"</f>
        <v>商务英语-案例篇MOOC</v>
      </c>
      <c r="D178" s="1" t="str">
        <f>"慕课"</f>
        <v>慕课</v>
      </c>
      <c r="E178" s="1" t="str">
        <f>"谢娟"</f>
        <v>谢娟</v>
      </c>
      <c r="F178" s="1" t="str">
        <f>"吕玉帆"</f>
        <v>吕玉帆</v>
      </c>
      <c r="G178" s="1" t="str">
        <f>"2180502Z1009"</f>
        <v>2180502Z1009</v>
      </c>
    </row>
    <row r="179" spans="1:7" ht="27.75" customHeight="1">
      <c r="A179" s="1">
        <v>177</v>
      </c>
      <c r="B179" s="1" t="str">
        <f>"马克思主义学院"</f>
        <v>马克思主义学院</v>
      </c>
      <c r="C179" s="1" t="str">
        <f>"中国近现代史纲要"</f>
        <v>中国近现代史纲要</v>
      </c>
      <c r="D179" s="1" t="str">
        <f>"通识基础课"</f>
        <v>通识基础课</v>
      </c>
      <c r="E179" s="1" t="str">
        <f>"贾国雄"</f>
        <v>贾国雄</v>
      </c>
      <c r="F179" s="1" t="str">
        <f>"乔夏婉"</f>
        <v>乔夏婉</v>
      </c>
      <c r="G179" s="1" t="str">
        <f>"219030505001"</f>
        <v>219030505001</v>
      </c>
    </row>
    <row r="180" spans="1:7" ht="27.75" customHeight="1">
      <c r="A180" s="1">
        <v>178</v>
      </c>
      <c r="B180" s="1" t="str">
        <f aca="true" t="shared" si="19" ref="B180:B213">"统计学院"</f>
        <v>统计学院</v>
      </c>
      <c r="C180" s="1" t="str">
        <f aca="true" t="shared" si="20" ref="C180:C189">"统计学"</f>
        <v>统计学</v>
      </c>
      <c r="D180" s="1" t="str">
        <f aca="true" t="shared" si="21" ref="D180:D190">"大学科基础课"</f>
        <v>大学科基础课</v>
      </c>
      <c r="E180" s="1" t="str">
        <f>"江俊佑"</f>
        <v>江俊佑</v>
      </c>
      <c r="F180" s="1" t="str">
        <f>"王帅"</f>
        <v>王帅</v>
      </c>
      <c r="G180" s="1" t="str">
        <f>"117020208004"</f>
        <v>117020208004</v>
      </c>
    </row>
    <row r="181" spans="1:7" ht="27.75" customHeight="1">
      <c r="A181" s="1">
        <v>179</v>
      </c>
      <c r="B181" s="1" t="str">
        <f t="shared" si="19"/>
        <v>统计学院</v>
      </c>
      <c r="C181" s="1" t="str">
        <f t="shared" si="20"/>
        <v>统计学</v>
      </c>
      <c r="D181" s="1" t="str">
        <f t="shared" si="21"/>
        <v>大学科基础课</v>
      </c>
      <c r="E181" s="1" t="str">
        <f>"王青华"</f>
        <v>王青华</v>
      </c>
      <c r="F181" s="1" t="str">
        <f>"曹改改"</f>
        <v>曹改改</v>
      </c>
      <c r="G181" s="1" t="str">
        <f>"118020208005"</f>
        <v>118020208005</v>
      </c>
    </row>
    <row r="182" spans="1:7" ht="27.75" customHeight="1">
      <c r="A182" s="1">
        <v>180</v>
      </c>
      <c r="B182" s="1" t="str">
        <f t="shared" si="19"/>
        <v>统计学院</v>
      </c>
      <c r="C182" s="1" t="str">
        <f t="shared" si="20"/>
        <v>统计学</v>
      </c>
      <c r="D182" s="1" t="str">
        <f t="shared" si="21"/>
        <v>大学科基础课</v>
      </c>
      <c r="E182" s="1" t="str">
        <f>"王青华"</f>
        <v>王青华</v>
      </c>
      <c r="F182" s="1" t="str">
        <f>"徐晓庆"</f>
        <v>徐晓庆</v>
      </c>
      <c r="G182" s="1" t="str">
        <f>"118120204002"</f>
        <v>118120204002</v>
      </c>
    </row>
    <row r="183" spans="1:7" ht="27.75" customHeight="1">
      <c r="A183" s="1">
        <v>181</v>
      </c>
      <c r="B183" s="1" t="str">
        <f t="shared" si="19"/>
        <v>统计学院</v>
      </c>
      <c r="C183" s="1" t="str">
        <f t="shared" si="20"/>
        <v>统计学</v>
      </c>
      <c r="D183" s="1" t="str">
        <f t="shared" si="21"/>
        <v>大学科基础课</v>
      </c>
      <c r="E183" s="1" t="str">
        <f>"王青华"</f>
        <v>王青华</v>
      </c>
      <c r="F183" s="1" t="str">
        <f>"余关元"</f>
        <v>余关元</v>
      </c>
      <c r="G183" s="1" t="str">
        <f>"117120204001"</f>
        <v>117120204001</v>
      </c>
    </row>
    <row r="184" spans="1:7" ht="27.75" customHeight="1">
      <c r="A184" s="1">
        <v>182</v>
      </c>
      <c r="B184" s="1" t="str">
        <f t="shared" si="19"/>
        <v>统计学院</v>
      </c>
      <c r="C184" s="1" t="str">
        <f t="shared" si="20"/>
        <v>统计学</v>
      </c>
      <c r="D184" s="1" t="str">
        <f t="shared" si="21"/>
        <v>大学科基础课</v>
      </c>
      <c r="E184" s="1" t="str">
        <f>"苏远琳"</f>
        <v>苏远琳</v>
      </c>
      <c r="F184" s="1" t="str">
        <f>"朱鹭杰"</f>
        <v>朱鹭杰</v>
      </c>
      <c r="G184" s="1" t="str">
        <f>"218020209009"</f>
        <v>218020209009</v>
      </c>
    </row>
    <row r="185" spans="1:7" ht="27.75" customHeight="1">
      <c r="A185" s="1">
        <v>183</v>
      </c>
      <c r="B185" s="1" t="str">
        <f t="shared" si="19"/>
        <v>统计学院</v>
      </c>
      <c r="C185" s="1" t="str">
        <f t="shared" si="20"/>
        <v>统计学</v>
      </c>
      <c r="D185" s="1" t="str">
        <f t="shared" si="21"/>
        <v>大学科基础课</v>
      </c>
      <c r="E185" s="1" t="str">
        <f>"苏远琳"</f>
        <v>苏远琳</v>
      </c>
      <c r="F185" s="1" t="str">
        <f>"何雅兴"</f>
        <v>何雅兴</v>
      </c>
      <c r="G185" s="1" t="str">
        <f>"117020208003"</f>
        <v>117020208003</v>
      </c>
    </row>
    <row r="186" spans="1:7" ht="27.75" customHeight="1">
      <c r="A186" s="1">
        <v>184</v>
      </c>
      <c r="B186" s="1" t="str">
        <f t="shared" si="19"/>
        <v>统计学院</v>
      </c>
      <c r="C186" s="1" t="str">
        <f t="shared" si="20"/>
        <v>统计学</v>
      </c>
      <c r="D186" s="1" t="str">
        <f t="shared" si="21"/>
        <v>大学科基础课</v>
      </c>
      <c r="E186" s="1" t="str">
        <f>"苏远琳"</f>
        <v>苏远琳</v>
      </c>
      <c r="F186" s="1" t="str">
        <f>"胡翔宇"</f>
        <v>胡翔宇</v>
      </c>
      <c r="G186" s="1" t="str">
        <f>"219025200045"</f>
        <v>219025200045</v>
      </c>
    </row>
    <row r="187" spans="1:7" ht="27.75" customHeight="1">
      <c r="A187" s="1">
        <v>185</v>
      </c>
      <c r="B187" s="1" t="str">
        <f t="shared" si="19"/>
        <v>统计学院</v>
      </c>
      <c r="C187" s="1" t="str">
        <f t="shared" si="20"/>
        <v>统计学</v>
      </c>
      <c r="D187" s="1" t="str">
        <f t="shared" si="21"/>
        <v>大学科基础课</v>
      </c>
      <c r="E187" s="1" t="str">
        <f>"苏远琳"</f>
        <v>苏远琳</v>
      </c>
      <c r="F187" s="1" t="str">
        <f>"陈莉"</f>
        <v>陈莉</v>
      </c>
      <c r="G187" s="1" t="str">
        <f>"218020209006"</f>
        <v>218020209006</v>
      </c>
    </row>
    <row r="188" spans="1:7" ht="27.75" customHeight="1">
      <c r="A188" s="1">
        <v>186</v>
      </c>
      <c r="B188" s="1" t="str">
        <f t="shared" si="19"/>
        <v>统计学院</v>
      </c>
      <c r="C188" s="1" t="str">
        <f t="shared" si="20"/>
        <v>统计学</v>
      </c>
      <c r="D188" s="1" t="str">
        <f t="shared" si="21"/>
        <v>大学科基础课</v>
      </c>
      <c r="E188" s="1" t="str">
        <f>"夏怡凡"</f>
        <v>夏怡凡</v>
      </c>
      <c r="F188" s="1" t="str">
        <f>"邢容"</f>
        <v>邢容</v>
      </c>
      <c r="G188" s="1" t="str">
        <f>"117020204026"</f>
        <v>117020204026</v>
      </c>
    </row>
    <row r="189" spans="1:7" ht="27.75" customHeight="1">
      <c r="A189" s="1">
        <v>187</v>
      </c>
      <c r="B189" s="1" t="str">
        <f t="shared" si="19"/>
        <v>统计学院</v>
      </c>
      <c r="C189" s="1" t="str">
        <f t="shared" si="20"/>
        <v>统计学</v>
      </c>
      <c r="D189" s="1" t="str">
        <f t="shared" si="21"/>
        <v>大学科基础课</v>
      </c>
      <c r="E189" s="1" t="str">
        <f>"黎春"</f>
        <v>黎春</v>
      </c>
      <c r="F189" s="1" t="str">
        <f>"郑宇航"</f>
        <v>郑宇航</v>
      </c>
      <c r="G189" s="1" t="str">
        <f>"218020208016"</f>
        <v>218020208016</v>
      </c>
    </row>
    <row r="190" spans="1:7" ht="27.75" customHeight="1">
      <c r="A190" s="1">
        <v>188</v>
      </c>
      <c r="B190" s="1" t="str">
        <f t="shared" si="19"/>
        <v>统计学院</v>
      </c>
      <c r="C190" s="1" t="str">
        <f>"计量经济学"</f>
        <v>计量经济学</v>
      </c>
      <c r="D190" s="1" t="str">
        <f t="shared" si="21"/>
        <v>大学科基础课</v>
      </c>
      <c r="E190" s="1" t="str">
        <f>"范国斌"</f>
        <v>范国斌</v>
      </c>
      <c r="F190" s="1" t="str">
        <f>"陈先洁"</f>
        <v>陈先洁</v>
      </c>
      <c r="G190" s="1" t="str">
        <f>"1190202Z7002"</f>
        <v>1190202Z7002</v>
      </c>
    </row>
    <row r="191" spans="1:7" ht="27.75" customHeight="1">
      <c r="A191" s="1">
        <v>189</v>
      </c>
      <c r="B191" s="1" t="str">
        <f t="shared" si="19"/>
        <v>统计学院</v>
      </c>
      <c r="C191" s="1" t="str">
        <f>"计量经济学"</f>
        <v>计量经济学</v>
      </c>
      <c r="D191" s="1" t="str">
        <f>"专业方向课"</f>
        <v>专业方向课</v>
      </c>
      <c r="E191" s="1" t="str">
        <f>"范国斌"</f>
        <v>范国斌</v>
      </c>
      <c r="F191" s="1" t="str">
        <f>"吴婷玉"</f>
        <v>吴婷玉</v>
      </c>
      <c r="G191" s="1" t="str">
        <f>"217020209012"</f>
        <v>217020209012</v>
      </c>
    </row>
    <row r="192" spans="1:7" ht="27.75" customHeight="1">
      <c r="A192" s="1">
        <v>190</v>
      </c>
      <c r="B192" s="1" t="str">
        <f t="shared" si="19"/>
        <v>统计学院</v>
      </c>
      <c r="C192" s="1" t="str">
        <f>"计量经济学"</f>
        <v>计量经济学</v>
      </c>
      <c r="D192" s="1" t="str">
        <f>"专业方向课"</f>
        <v>专业方向课</v>
      </c>
      <c r="E192" s="1" t="str">
        <f>"范国斌"</f>
        <v>范国斌</v>
      </c>
      <c r="F192" s="1" t="str">
        <f>"白梨霏"</f>
        <v>白梨霏</v>
      </c>
      <c r="G192" s="1" t="str">
        <f>"2181202Z5009"</f>
        <v>2181202Z5009</v>
      </c>
    </row>
    <row r="193" spans="1:7" ht="27.75" customHeight="1">
      <c r="A193" s="1">
        <v>191</v>
      </c>
      <c r="B193" s="1" t="str">
        <f t="shared" si="19"/>
        <v>统计学院</v>
      </c>
      <c r="C193" s="1" t="str">
        <f>"计量经济学MOOC"</f>
        <v>计量经济学MOOC</v>
      </c>
      <c r="D193" s="1" t="str">
        <f>"慕课"</f>
        <v>慕课</v>
      </c>
      <c r="E193" s="1" t="str">
        <f>"范国斌"</f>
        <v>范国斌</v>
      </c>
      <c r="F193" s="1" t="str">
        <f>"杨素婷"</f>
        <v>杨素婷</v>
      </c>
      <c r="G193" s="1" t="str">
        <f>"217020209021"</f>
        <v>217020209021</v>
      </c>
    </row>
    <row r="194" spans="1:7" ht="27.75" customHeight="1">
      <c r="A194" s="1">
        <v>192</v>
      </c>
      <c r="B194" s="1" t="str">
        <f t="shared" si="19"/>
        <v>统计学院</v>
      </c>
      <c r="C194" s="1" t="str">
        <f>"计量经济学"</f>
        <v>计量经济学</v>
      </c>
      <c r="D194" s="1" t="str">
        <f aca="true" t="shared" si="22" ref="D194:D199">"大学科基础课"</f>
        <v>大学科基础课</v>
      </c>
      <c r="E194" s="1" t="str">
        <f>"任栋"</f>
        <v>任栋</v>
      </c>
      <c r="F194" s="1" t="str">
        <f>"赵盼"</f>
        <v>赵盼</v>
      </c>
      <c r="G194" s="1" t="str">
        <f>"219020209019"</f>
        <v>219020209019</v>
      </c>
    </row>
    <row r="195" spans="1:7" ht="27.75" customHeight="1">
      <c r="A195" s="1">
        <v>193</v>
      </c>
      <c r="B195" s="1" t="str">
        <f t="shared" si="19"/>
        <v>统计学院</v>
      </c>
      <c r="C195" s="1" t="str">
        <f>"统计学"</f>
        <v>统计学</v>
      </c>
      <c r="D195" s="1" t="str">
        <f t="shared" si="22"/>
        <v>大学科基础课</v>
      </c>
      <c r="E195" s="1" t="str">
        <f>"苏应生"</f>
        <v>苏应生</v>
      </c>
      <c r="F195" s="1" t="str">
        <f>"刘奇波"</f>
        <v>刘奇波</v>
      </c>
      <c r="G195" s="1" t="str">
        <f>"217020208007"</f>
        <v>217020208007</v>
      </c>
    </row>
    <row r="196" spans="1:7" ht="27.75" customHeight="1">
      <c r="A196" s="1">
        <v>194</v>
      </c>
      <c r="B196" s="1" t="str">
        <f t="shared" si="19"/>
        <v>统计学院</v>
      </c>
      <c r="C196" s="1" t="str">
        <f>"统计学"</f>
        <v>统计学</v>
      </c>
      <c r="D196" s="1" t="str">
        <f t="shared" si="22"/>
        <v>大学科基础课</v>
      </c>
      <c r="E196" s="1" t="str">
        <f>"苏应生"</f>
        <v>苏应生</v>
      </c>
      <c r="F196" s="1" t="str">
        <f>"胡林秀"</f>
        <v>胡林秀</v>
      </c>
      <c r="G196" s="1" t="str">
        <f>"218120100014"</f>
        <v>218120100014</v>
      </c>
    </row>
    <row r="197" spans="1:7" ht="27.75" customHeight="1">
      <c r="A197" s="1">
        <v>195</v>
      </c>
      <c r="B197" s="1" t="str">
        <f t="shared" si="19"/>
        <v>统计学院</v>
      </c>
      <c r="C197" s="1" t="str">
        <f>"统计学"</f>
        <v>统计学</v>
      </c>
      <c r="D197" s="1" t="str">
        <f t="shared" si="22"/>
        <v>大学科基础课</v>
      </c>
      <c r="E197" s="1" t="str">
        <f>"彭刚"</f>
        <v>彭刚</v>
      </c>
      <c r="F197" s="1" t="str">
        <f>"王婧姿"</f>
        <v>王婧姿</v>
      </c>
      <c r="G197" s="1" t="str">
        <f>"218020208019"</f>
        <v>218020208019</v>
      </c>
    </row>
    <row r="198" spans="1:7" ht="27.75" customHeight="1">
      <c r="A198" s="1">
        <v>196</v>
      </c>
      <c r="B198" s="1" t="str">
        <f t="shared" si="19"/>
        <v>统计学院</v>
      </c>
      <c r="C198" s="1" t="str">
        <f>"计量经济学"</f>
        <v>计量经济学</v>
      </c>
      <c r="D198" s="1" t="str">
        <f t="shared" si="22"/>
        <v>大学科基础课</v>
      </c>
      <c r="E198" s="1" t="str">
        <f>"郭建军"</f>
        <v>郭建军</v>
      </c>
      <c r="F198" s="1" t="str">
        <f>"胡新"</f>
        <v>胡新</v>
      </c>
      <c r="G198" s="1" t="str">
        <f>"2180202Z2051"</f>
        <v>2180202Z2051</v>
      </c>
    </row>
    <row r="199" spans="1:7" ht="27.75" customHeight="1">
      <c r="A199" s="1">
        <v>197</v>
      </c>
      <c r="B199" s="1" t="str">
        <f t="shared" si="19"/>
        <v>统计学院</v>
      </c>
      <c r="C199" s="1" t="str">
        <f>"计量经济学"</f>
        <v>计量经济学</v>
      </c>
      <c r="D199" s="1" t="str">
        <f t="shared" si="22"/>
        <v>大学科基础课</v>
      </c>
      <c r="E199" s="1" t="str">
        <f>"孙秀丽"</f>
        <v>孙秀丽</v>
      </c>
      <c r="F199" s="1" t="str">
        <f>"陈雅婕"</f>
        <v>陈雅婕</v>
      </c>
      <c r="G199" s="1" t="str">
        <f>"218020204238"</f>
        <v>218020204238</v>
      </c>
    </row>
    <row r="200" spans="1:7" ht="27.75" customHeight="1">
      <c r="A200" s="1">
        <v>198</v>
      </c>
      <c r="B200" s="1" t="str">
        <f t="shared" si="19"/>
        <v>统计学院</v>
      </c>
      <c r="C200" s="1" t="str">
        <f>"数理统计（理）"</f>
        <v>数理统计（理）</v>
      </c>
      <c r="D200" s="1" t="str">
        <f>"专业必修课"</f>
        <v>专业必修课</v>
      </c>
      <c r="E200" s="1" t="str">
        <f>"吴量"</f>
        <v>吴量</v>
      </c>
      <c r="F200" s="1" t="str">
        <f>"侯方玫"</f>
        <v>侯方玫</v>
      </c>
      <c r="G200" s="1" t="str">
        <f>"119071400001"</f>
        <v>119071400001</v>
      </c>
    </row>
    <row r="201" spans="1:7" ht="27.75" customHeight="1">
      <c r="A201" s="1">
        <v>199</v>
      </c>
      <c r="B201" s="1" t="str">
        <f t="shared" si="19"/>
        <v>统计学院</v>
      </c>
      <c r="C201" s="1" t="str">
        <f aca="true" t="shared" si="23" ref="C201:C207">"统计学"</f>
        <v>统计学</v>
      </c>
      <c r="D201" s="1" t="str">
        <f aca="true" t="shared" si="24" ref="D201:D207">"大学科基础课"</f>
        <v>大学科基础课</v>
      </c>
      <c r="E201" s="1" t="str">
        <f>"李俭富"</f>
        <v>李俭富</v>
      </c>
      <c r="F201" s="1" t="str">
        <f>"陆堇"</f>
        <v>陆堇</v>
      </c>
      <c r="G201" s="1" t="str">
        <f>"218020204084"</f>
        <v>218020204084</v>
      </c>
    </row>
    <row r="202" spans="1:7" ht="27.75" customHeight="1">
      <c r="A202" s="1">
        <v>200</v>
      </c>
      <c r="B202" s="1" t="str">
        <f t="shared" si="19"/>
        <v>统计学院</v>
      </c>
      <c r="C202" s="1" t="str">
        <f t="shared" si="23"/>
        <v>统计学</v>
      </c>
      <c r="D202" s="1" t="str">
        <f t="shared" si="24"/>
        <v>大学科基础课</v>
      </c>
      <c r="E202" s="1" t="str">
        <f>"李俭富"</f>
        <v>李俭富</v>
      </c>
      <c r="F202" s="1" t="str">
        <f>"姜春子"</f>
        <v>姜春子</v>
      </c>
      <c r="G202" s="1" t="str">
        <f>"119020204010"</f>
        <v>119020204010</v>
      </c>
    </row>
    <row r="203" spans="1:7" ht="27.75" customHeight="1">
      <c r="A203" s="1">
        <v>201</v>
      </c>
      <c r="B203" s="1" t="str">
        <f t="shared" si="19"/>
        <v>统计学院</v>
      </c>
      <c r="C203" s="1" t="str">
        <f t="shared" si="23"/>
        <v>统计学</v>
      </c>
      <c r="D203" s="1" t="str">
        <f t="shared" si="24"/>
        <v>大学科基础课</v>
      </c>
      <c r="E203" s="1" t="str">
        <f>"李俭富"</f>
        <v>李俭富</v>
      </c>
      <c r="F203" s="1" t="str">
        <f>"陈嘉颖"</f>
        <v>陈嘉颖</v>
      </c>
      <c r="G203" s="1" t="str">
        <f>"118020208008"</f>
        <v>118020208008</v>
      </c>
    </row>
    <row r="204" spans="1:7" ht="27.75" customHeight="1">
      <c r="A204" s="1">
        <v>202</v>
      </c>
      <c r="B204" s="1" t="str">
        <f t="shared" si="19"/>
        <v>统计学院</v>
      </c>
      <c r="C204" s="1" t="str">
        <f t="shared" si="23"/>
        <v>统计学</v>
      </c>
      <c r="D204" s="1" t="str">
        <f t="shared" si="24"/>
        <v>大学科基础课</v>
      </c>
      <c r="E204" s="1" t="str">
        <f>"陈丹丹"</f>
        <v>陈丹丹</v>
      </c>
      <c r="F204" s="1" t="str">
        <f>"郑茜"</f>
        <v>郑茜</v>
      </c>
      <c r="G204" s="1" t="str">
        <f>"218020208009"</f>
        <v>218020208009</v>
      </c>
    </row>
    <row r="205" spans="1:7" ht="27.75" customHeight="1">
      <c r="A205" s="1">
        <v>203</v>
      </c>
      <c r="B205" s="1" t="str">
        <f t="shared" si="19"/>
        <v>统计学院</v>
      </c>
      <c r="C205" s="1" t="str">
        <f t="shared" si="23"/>
        <v>统计学</v>
      </c>
      <c r="D205" s="1" t="str">
        <f t="shared" si="24"/>
        <v>大学科基础课</v>
      </c>
      <c r="E205" s="1" t="str">
        <f>"陈丹丹"</f>
        <v>陈丹丹</v>
      </c>
      <c r="F205" s="1" t="str">
        <f>"黄金水"</f>
        <v>黄金水</v>
      </c>
      <c r="G205" s="1" t="str">
        <f>"218120204002"</f>
        <v>218120204002</v>
      </c>
    </row>
    <row r="206" spans="1:7" ht="27.75" customHeight="1">
      <c r="A206" s="1">
        <v>204</v>
      </c>
      <c r="B206" s="1" t="str">
        <f t="shared" si="19"/>
        <v>统计学院</v>
      </c>
      <c r="C206" s="1" t="str">
        <f t="shared" si="23"/>
        <v>统计学</v>
      </c>
      <c r="D206" s="1" t="str">
        <f t="shared" si="24"/>
        <v>大学科基础课</v>
      </c>
      <c r="E206" s="1" t="str">
        <f>"陈丹丹"</f>
        <v>陈丹丹</v>
      </c>
      <c r="F206" s="1" t="str">
        <f>"赖怡"</f>
        <v>赖怡</v>
      </c>
      <c r="G206" s="1" t="str">
        <f>"219020201001"</f>
        <v>219020201001</v>
      </c>
    </row>
    <row r="207" spans="1:7" ht="27.75" customHeight="1">
      <c r="A207" s="1">
        <v>205</v>
      </c>
      <c r="B207" s="1" t="str">
        <f t="shared" si="19"/>
        <v>统计学院</v>
      </c>
      <c r="C207" s="1" t="str">
        <f t="shared" si="23"/>
        <v>统计学</v>
      </c>
      <c r="D207" s="1" t="str">
        <f t="shared" si="24"/>
        <v>大学科基础课</v>
      </c>
      <c r="E207" s="1" t="str">
        <f>"陈丹丹"</f>
        <v>陈丹丹</v>
      </c>
      <c r="F207" s="1" t="str">
        <f>"陈映彤"</f>
        <v>陈映彤</v>
      </c>
      <c r="G207" s="1" t="str">
        <f>"218020209030"</f>
        <v>218020209030</v>
      </c>
    </row>
    <row r="208" spans="1:7" ht="27.75" customHeight="1">
      <c r="A208" s="1">
        <v>206</v>
      </c>
      <c r="B208" s="1" t="str">
        <f t="shared" si="19"/>
        <v>统计学院</v>
      </c>
      <c r="C208" s="1" t="str">
        <f>"统计软件编程"</f>
        <v>统计软件编程</v>
      </c>
      <c r="D208" s="1" t="str">
        <f>"专业方向课"</f>
        <v>专业方向课</v>
      </c>
      <c r="E208" s="1" t="str">
        <f>"张佛德"</f>
        <v>张佛德</v>
      </c>
      <c r="F208" s="1" t="str">
        <f>"幸艳琳"</f>
        <v>幸艳琳</v>
      </c>
      <c r="G208" s="1" t="str">
        <f>"118020204060"</f>
        <v>118020204060</v>
      </c>
    </row>
    <row r="209" spans="1:7" ht="27.75" customHeight="1">
      <c r="A209" s="1">
        <v>207</v>
      </c>
      <c r="B209" s="1" t="str">
        <f t="shared" si="19"/>
        <v>统计学院</v>
      </c>
      <c r="C209" s="1" t="str">
        <f>"数理统计（理）"</f>
        <v>数理统计（理）</v>
      </c>
      <c r="D209" s="1" t="str">
        <f>"大学科基础课"</f>
        <v>大学科基础课</v>
      </c>
      <c r="E209" s="1" t="str">
        <f>"张佛德"</f>
        <v>张佛德</v>
      </c>
      <c r="F209" s="1" t="str">
        <f>"陶铁来"</f>
        <v>陶铁来</v>
      </c>
      <c r="G209" s="1" t="str">
        <f>"118020209005"</f>
        <v>118020209005</v>
      </c>
    </row>
    <row r="210" spans="1:7" ht="27.75" customHeight="1">
      <c r="A210" s="1">
        <v>208</v>
      </c>
      <c r="B210" s="1" t="str">
        <f t="shared" si="19"/>
        <v>统计学院</v>
      </c>
      <c r="C210" s="1" t="str">
        <f>"数据挖掘与应用"</f>
        <v>数据挖掘与应用</v>
      </c>
      <c r="D210" s="1" t="str">
        <f>"专业方向课"</f>
        <v>专业方向课</v>
      </c>
      <c r="E210" s="1" t="str">
        <f>"张佛德"</f>
        <v>张佛德</v>
      </c>
      <c r="F210" s="1" t="str">
        <f>"张晨琳"</f>
        <v>张晨琳</v>
      </c>
      <c r="G210" s="1" t="str">
        <f>"218020208025"</f>
        <v>218020208025</v>
      </c>
    </row>
    <row r="211" spans="1:7" ht="27.75" customHeight="1">
      <c r="A211" s="1">
        <v>209</v>
      </c>
      <c r="B211" s="1" t="str">
        <f t="shared" si="19"/>
        <v>统计学院</v>
      </c>
      <c r="C211" s="1" t="str">
        <f>"数理统计（理）"</f>
        <v>数理统计（理）</v>
      </c>
      <c r="D211" s="1" t="str">
        <f>"大学科基础课"</f>
        <v>大学科基础课</v>
      </c>
      <c r="E211" s="1" t="str">
        <f>"张佛德"</f>
        <v>张佛德</v>
      </c>
      <c r="F211" s="1" t="str">
        <f>"王河欢"</f>
        <v>王河欢</v>
      </c>
      <c r="G211" s="1" t="str">
        <f>"218020101022"</f>
        <v>218020101022</v>
      </c>
    </row>
    <row r="212" spans="1:7" ht="27.75" customHeight="1">
      <c r="A212" s="1">
        <v>210</v>
      </c>
      <c r="B212" s="1" t="str">
        <f t="shared" si="19"/>
        <v>统计学院</v>
      </c>
      <c r="C212" s="1" t="str">
        <f>"统计学"</f>
        <v>统计学</v>
      </c>
      <c r="D212" s="1" t="str">
        <f>"大学科基础课"</f>
        <v>大学科基础课</v>
      </c>
      <c r="E212" s="1" t="str">
        <f>"朱莉"</f>
        <v>朱莉</v>
      </c>
      <c r="F212" s="1" t="str">
        <f>"李杰"</f>
        <v>李杰</v>
      </c>
      <c r="G212" s="1" t="str">
        <f>"118020208003"</f>
        <v>118020208003</v>
      </c>
    </row>
    <row r="213" spans="1:7" ht="27.75" customHeight="1">
      <c r="A213" s="1">
        <v>211</v>
      </c>
      <c r="B213" s="1" t="str">
        <f t="shared" si="19"/>
        <v>统计学院</v>
      </c>
      <c r="C213" s="1" t="str">
        <f>"计量经济学"</f>
        <v>计量经济学</v>
      </c>
      <c r="D213" s="1" t="str">
        <f>"大学科基础课"</f>
        <v>大学科基础课</v>
      </c>
      <c r="E213" s="1" t="str">
        <f>"张华节"</f>
        <v>张华节</v>
      </c>
      <c r="F213" s="1" t="str">
        <f>"何国平"</f>
        <v>何国平</v>
      </c>
      <c r="G213" s="1" t="str">
        <f>"2180202J8005"</f>
        <v>2180202J8005</v>
      </c>
    </row>
    <row r="214" spans="1:7" ht="27.75" customHeight="1">
      <c r="A214" s="1">
        <v>212</v>
      </c>
      <c r="B214" s="1" t="str">
        <f>"中国西部经济研究中心"</f>
        <v>中国西部经济研究中心</v>
      </c>
      <c r="C214" s="1" t="str">
        <f>"宏观经济学"</f>
        <v>宏观经济学</v>
      </c>
      <c r="D214" s="1" t="str">
        <f>"大学科基础课"</f>
        <v>大学科基础课</v>
      </c>
      <c r="E214" s="1" t="str">
        <f>"文华成"</f>
        <v>文华成</v>
      </c>
      <c r="F214" s="1" t="str">
        <f>"石婷"</f>
        <v>石婷</v>
      </c>
      <c r="G214" s="1" t="str">
        <f>"1190202J4001"</f>
        <v>1190202J4001</v>
      </c>
    </row>
    <row r="215" spans="1:7" ht="27.75" customHeight="1">
      <c r="A215" s="1">
        <v>213</v>
      </c>
      <c r="B215" s="1" t="str">
        <f>"中国西部经济研究中心"</f>
        <v>中国西部经济研究中心</v>
      </c>
      <c r="C215" s="1" t="str">
        <f>"宏观经济学"</f>
        <v>宏观经济学</v>
      </c>
      <c r="D215" s="1" t="str">
        <f>"大学科基础课"</f>
        <v>大学科基础课</v>
      </c>
      <c r="E215" s="1" t="str">
        <f>"文华成"</f>
        <v>文华成</v>
      </c>
      <c r="F215" s="1" t="str">
        <f>"刘思岑"</f>
        <v>刘思岑</v>
      </c>
      <c r="G215" s="1" t="str">
        <f>"217020106003"</f>
        <v>217020106003</v>
      </c>
    </row>
  </sheetData>
  <sheetProtection/>
  <autoFilter ref="B1:B215"/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qxsx</dc:creator>
  <cp:keywords/>
  <dc:description/>
  <cp:lastModifiedBy>史丽婷</cp:lastModifiedBy>
  <cp:lastPrinted>2020-01-13T08:55:32Z</cp:lastPrinted>
  <dcterms:created xsi:type="dcterms:W3CDTF">2020-01-13T08:55:17Z</dcterms:created>
  <dcterms:modified xsi:type="dcterms:W3CDTF">2020-01-14T01:26:02Z</dcterms:modified>
  <cp:category/>
  <cp:version/>
  <cp:contentType/>
  <cp:contentStatus/>
</cp:coreProperties>
</file>